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J3969" i="11"/>
  <c r="K3969" i="1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J3958" i="11"/>
  <c r="K3958" i="11"/>
  <c r="J3954" i="11"/>
  <c r="K3954" i="11"/>
  <c r="N3954" i="11" s="1"/>
  <c r="J3949" i="11"/>
  <c r="K3949" i="1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M3970" i="11"/>
  <c r="N3949" i="11"/>
  <c r="N3950" i="11"/>
  <c r="N3951" i="11"/>
  <c r="N3952" i="11"/>
  <c r="N3953" i="11"/>
  <c r="N3955" i="11"/>
  <c r="N3956" i="11"/>
  <c r="N3957" i="11"/>
  <c r="N3958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M273" i="13" l="1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M3927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M272" i="13" l="1"/>
  <c r="AZ272" i="13"/>
  <c r="J3918" i="11"/>
  <c r="K3918" i="1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M271" i="13" l="1"/>
  <c r="AZ271" i="13"/>
  <c r="M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M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74" i="13" l="1"/>
  <c r="P274" i="13"/>
  <c r="AB274" i="13"/>
  <c r="BD274" i="13"/>
  <c r="BT274" i="13"/>
  <c r="E274" i="13"/>
  <c r="Q274" i="13"/>
  <c r="AC274" i="13"/>
  <c r="AS274" i="13"/>
  <c r="BE274" i="13"/>
  <c r="BU274" i="13"/>
  <c r="F274" i="13"/>
  <c r="R274" i="13"/>
  <c r="AD274" i="13"/>
  <c r="AT274" i="13"/>
  <c r="BF274" i="13"/>
  <c r="V274" i="13"/>
  <c r="AX274" i="13"/>
  <c r="W274" i="13"/>
  <c r="AI274" i="13"/>
  <c r="BO274" i="13"/>
  <c r="L274" i="13"/>
  <c r="AJ274" i="13"/>
  <c r="Y274" i="13"/>
  <c r="BQ274" i="13"/>
  <c r="N274" i="13"/>
  <c r="G274" i="13"/>
  <c r="S274" i="13"/>
  <c r="AE274" i="13"/>
  <c r="AU274" i="13"/>
  <c r="BG274" i="13"/>
  <c r="H274" i="13"/>
  <c r="T274" i="13"/>
  <c r="AF274" i="13"/>
  <c r="AV274" i="13"/>
  <c r="BH274" i="13"/>
  <c r="I274" i="13"/>
  <c r="U274" i="13"/>
  <c r="AG274" i="13"/>
  <c r="AW274" i="13"/>
  <c r="J274" i="13"/>
  <c r="AH274" i="13"/>
  <c r="BN274" i="13"/>
  <c r="K274" i="13"/>
  <c r="AY274" i="13"/>
  <c r="X274" i="13"/>
  <c r="BP274" i="13"/>
  <c r="AK274" i="13"/>
  <c r="BA274" i="13"/>
  <c r="Z274" i="13"/>
  <c r="AL274" i="13"/>
  <c r="BB274" i="13"/>
  <c r="BR274" i="13"/>
  <c r="O274" i="13"/>
  <c r="AA274" i="13"/>
  <c r="AM274" i="13"/>
  <c r="BC274" i="13"/>
  <c r="BS274" i="13"/>
  <c r="O273" i="13"/>
  <c r="AA273" i="13"/>
  <c r="AM273" i="13"/>
  <c r="BC273" i="13"/>
  <c r="BS273" i="13"/>
  <c r="D273" i="13"/>
  <c r="P273" i="13"/>
  <c r="AB273" i="13"/>
  <c r="BD273" i="13"/>
  <c r="BT273" i="13"/>
  <c r="E273" i="13"/>
  <c r="Q273" i="13"/>
  <c r="AC273" i="13"/>
  <c r="AS273" i="13"/>
  <c r="BE273" i="13"/>
  <c r="BU273" i="13"/>
  <c r="AD273" i="13"/>
  <c r="F273" i="13"/>
  <c r="R273" i="13"/>
  <c r="AT273" i="13"/>
  <c r="BF273" i="13"/>
  <c r="G273" i="13"/>
  <c r="S273" i="13"/>
  <c r="AE273" i="13"/>
  <c r="AU273" i="13"/>
  <c r="BG273" i="13"/>
  <c r="H273" i="13"/>
  <c r="T273" i="13"/>
  <c r="AF273" i="13"/>
  <c r="AV273" i="13"/>
  <c r="BH273" i="13"/>
  <c r="I273" i="13"/>
  <c r="U273" i="13"/>
  <c r="AG273" i="13"/>
  <c r="AW273" i="13"/>
  <c r="Y273" i="13"/>
  <c r="AL273" i="13"/>
  <c r="J273" i="13"/>
  <c r="V273" i="13"/>
  <c r="AH273" i="13"/>
  <c r="AX273" i="13"/>
  <c r="BN273" i="13"/>
  <c r="BA273" i="13"/>
  <c r="Z273" i="13"/>
  <c r="BR273" i="13"/>
  <c r="K273" i="13"/>
  <c r="W273" i="13"/>
  <c r="AI273" i="13"/>
  <c r="AY273" i="13"/>
  <c r="BO273" i="13"/>
  <c r="AK273" i="13"/>
  <c r="N273" i="13"/>
  <c r="L273" i="13"/>
  <c r="X273" i="13"/>
  <c r="AJ273" i="13"/>
  <c r="BP273" i="13"/>
  <c r="BQ273" i="13"/>
  <c r="BB273" i="13"/>
  <c r="O272" i="13"/>
  <c r="AA272" i="13"/>
  <c r="AM272" i="13"/>
  <c r="BC272" i="13"/>
  <c r="BS272" i="13"/>
  <c r="D272" i="13"/>
  <c r="P272" i="13"/>
  <c r="AB272" i="13"/>
  <c r="BD272" i="13"/>
  <c r="BT272" i="13"/>
  <c r="E272" i="13"/>
  <c r="Q272" i="13"/>
  <c r="AC272" i="13"/>
  <c r="AS272" i="13"/>
  <c r="BE272" i="13"/>
  <c r="BU272" i="13"/>
  <c r="F272" i="13"/>
  <c r="R272" i="13"/>
  <c r="AD272" i="13"/>
  <c r="AT272" i="13"/>
  <c r="BF272" i="13"/>
  <c r="G272" i="13"/>
  <c r="S272" i="13"/>
  <c r="AE272" i="13"/>
  <c r="AU272" i="13"/>
  <c r="BG272" i="13"/>
  <c r="H272" i="13"/>
  <c r="T272" i="13"/>
  <c r="AF272" i="13"/>
  <c r="AV272" i="13"/>
  <c r="BH272" i="13"/>
  <c r="I272" i="13"/>
  <c r="U272" i="13"/>
  <c r="AG272" i="13"/>
  <c r="AW272" i="13"/>
  <c r="J272" i="13"/>
  <c r="V272" i="13"/>
  <c r="AH272" i="13"/>
  <c r="AX272" i="13"/>
  <c r="BN272" i="13"/>
  <c r="K272" i="13"/>
  <c r="W272" i="13"/>
  <c r="AI272" i="13"/>
  <c r="AY272" i="13"/>
  <c r="BO272" i="13"/>
  <c r="L272" i="13"/>
  <c r="X272" i="13"/>
  <c r="AJ272" i="13"/>
  <c r="BP272" i="13"/>
  <c r="Y272" i="13"/>
  <c r="AK272" i="13"/>
  <c r="BA272" i="13"/>
  <c r="BQ272" i="13"/>
  <c r="N272" i="13"/>
  <c r="Z272" i="13"/>
  <c r="AL272" i="13"/>
  <c r="BB272" i="13"/>
  <c r="BR272" i="13"/>
  <c r="O271" i="13"/>
  <c r="AA271" i="13"/>
  <c r="AM271" i="13"/>
  <c r="BC271" i="13"/>
  <c r="BS271" i="13"/>
  <c r="L270" i="13"/>
  <c r="X270" i="13"/>
  <c r="AJ270" i="13"/>
  <c r="BP270" i="13"/>
  <c r="P271" i="13"/>
  <c r="AB271" i="13"/>
  <c r="BD271" i="13"/>
  <c r="BT271" i="13"/>
  <c r="Y270" i="13"/>
  <c r="BQ270" i="13"/>
  <c r="E270" i="13"/>
  <c r="U271" i="13"/>
  <c r="BF270" i="13"/>
  <c r="D271" i="13"/>
  <c r="AC270" i="13"/>
  <c r="AW271" i="13"/>
  <c r="AE270" i="13"/>
  <c r="E271" i="13"/>
  <c r="Q271" i="13"/>
  <c r="AC271" i="13"/>
  <c r="AS271" i="13"/>
  <c r="BE271" i="13"/>
  <c r="BU271" i="13"/>
  <c r="N270" i="13"/>
  <c r="Z270" i="13"/>
  <c r="AL270" i="13"/>
  <c r="BB270" i="13"/>
  <c r="BR270" i="13"/>
  <c r="AA270" i="13"/>
  <c r="BS270" i="13"/>
  <c r="AF271" i="13"/>
  <c r="F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G271" i="13"/>
  <c r="S271" i="13"/>
  <c r="AE271" i="13"/>
  <c r="AU271" i="13"/>
  <c r="BG271" i="13"/>
  <c r="D270" i="13"/>
  <c r="P270" i="13"/>
  <c r="AB270" i="13"/>
  <c r="BD270" i="13"/>
  <c r="BT270" i="13"/>
  <c r="H271" i="13"/>
  <c r="AV271" i="13"/>
  <c r="BE270" i="13"/>
  <c r="F270" i="13"/>
  <c r="J271" i="13"/>
  <c r="V271" i="13"/>
  <c r="AH271" i="13"/>
  <c r="AX271" i="13"/>
  <c r="BN271" i="13"/>
  <c r="G270" i="13"/>
  <c r="K271" i="13"/>
  <c r="W271" i="13"/>
  <c r="AI271" i="13"/>
  <c r="AY271" i="13"/>
  <c r="BO271" i="13"/>
  <c r="H270" i="13"/>
  <c r="T270" i="13"/>
  <c r="AF270" i="13"/>
  <c r="AV270" i="13"/>
  <c r="BH270" i="13"/>
  <c r="AL271" i="13"/>
  <c r="BB271" i="13"/>
  <c r="W270" i="13"/>
  <c r="BO270" i="13"/>
  <c r="AK270" i="13"/>
  <c r="I271" i="13"/>
  <c r="L271" i="13"/>
  <c r="X271" i="13"/>
  <c r="AJ271" i="13"/>
  <c r="BP271" i="13"/>
  <c r="I270" i="13"/>
  <c r="U270" i="13"/>
  <c r="AG270" i="13"/>
  <c r="AW270" i="13"/>
  <c r="Z271" i="13"/>
  <c r="BR271" i="13"/>
  <c r="AI270" i="13"/>
  <c r="AY270" i="13"/>
  <c r="AS270" i="13"/>
  <c r="R270" i="13"/>
  <c r="S270" i="13"/>
  <c r="Y271" i="13"/>
  <c r="AK271" i="13"/>
  <c r="BA271" i="13"/>
  <c r="BQ271" i="13"/>
  <c r="J270" i="13"/>
  <c r="V270" i="13"/>
  <c r="AH270" i="13"/>
  <c r="AX270" i="13"/>
  <c r="BN270" i="13"/>
  <c r="N271" i="13"/>
  <c r="K270" i="13"/>
  <c r="BA270" i="13"/>
  <c r="BH271" i="13"/>
  <c r="BU270" i="13"/>
  <c r="AD270" i="13"/>
  <c r="BG270" i="13"/>
  <c r="O269" i="13"/>
  <c r="AA269" i="13"/>
  <c r="AM269" i="13"/>
  <c r="BC269" i="13"/>
  <c r="BS269" i="13"/>
  <c r="AV269" i="13"/>
  <c r="AH269" i="13"/>
  <c r="D269" i="13"/>
  <c r="P269" i="13"/>
  <c r="AB269" i="13"/>
  <c r="BD269" i="13"/>
  <c r="BT269" i="13"/>
  <c r="U269" i="13"/>
  <c r="E269" i="13"/>
  <c r="Q269" i="13"/>
  <c r="AC269" i="13"/>
  <c r="AS269" i="13"/>
  <c r="BE269" i="13"/>
  <c r="BU269" i="13"/>
  <c r="AW269" i="13"/>
  <c r="F269" i="13"/>
  <c r="R269" i="13"/>
  <c r="AD269" i="13"/>
  <c r="AT269" i="13"/>
  <c r="BF269" i="13"/>
  <c r="BH269" i="13"/>
  <c r="G269" i="13"/>
  <c r="S269" i="13"/>
  <c r="AE269" i="13"/>
  <c r="AU269" i="13"/>
  <c r="BG269" i="13"/>
  <c r="T269" i="13"/>
  <c r="AF269" i="13"/>
  <c r="AG269" i="13"/>
  <c r="V269" i="13"/>
  <c r="H269" i="13"/>
  <c r="I269" i="13"/>
  <c r="J269" i="13"/>
  <c r="K269" i="13"/>
  <c r="W269" i="13"/>
  <c r="AI269" i="13"/>
  <c r="AY269" i="13"/>
  <c r="BO269" i="13"/>
  <c r="BB269" i="13"/>
  <c r="BR269" i="13"/>
  <c r="AX269" i="13"/>
  <c r="L269" i="13"/>
  <c r="X269" i="13"/>
  <c r="AJ269" i="13"/>
  <c r="BP269" i="13"/>
  <c r="Z269" i="13"/>
  <c r="Y269" i="13"/>
  <c r="AK269" i="13"/>
  <c r="BA269" i="13"/>
  <c r="BQ269" i="13"/>
  <c r="AL269" i="13"/>
  <c r="BN269" i="13"/>
  <c r="N269" i="13"/>
  <c r="V268" i="13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<sst xmlns="http://schemas.openxmlformats.org/spreadsheetml/2006/main" count="20308" uniqueCount="4668">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</sst>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2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10" fillId="0" borderId="0" applyFont="0" applyFill="0" applyBorder="0" applyAlignment="0" applyProtection="0"/>
    <xf numFmtId="0" fontId="124" fillId="0" borderId="0"/>
    <xf numFmtId="9" fontId="124" fillId="0" borderId="0" applyFont="0" applyFill="0" applyBorder="0" applyAlignment="0" applyProtection="0"/>
    <xf numFmtId="0" fontId="88" fillId="0" borderId="0"/>
    <xf numFmtId="9" fontId="88" fillId="0" borderId="0" applyFont="0" applyFill="0" applyBorder="0" applyAlignment="0" applyProtection="0"/>
  </cellStyleXfs>
  <cellXfs count="1439">
    <xf numFmtId="0" fontId="0" fillId="0" borderId="0" xfId="0"/>
    <xf numFmtId="0" fontId="207" fillId="0" borderId="0" xfId="0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0" fontId="207" fillId="0" borderId="0" xfId="0" applyFont="1"/>
    <xf numFmtId="0" fontId="208" fillId="0" borderId="0" xfId="0" applyFont="1" applyAlignment="1">
      <alignment horizontal="center" vertical="center"/>
    </xf>
    <xf numFmtId="0" fontId="207" fillId="0" borderId="0" xfId="0" applyFont="1" applyBorder="1" applyAlignment="1">
      <alignment vertical="center"/>
    </xf>
    <xf numFmtId="0" fontId="209" fillId="2" borderId="1" xfId="0" applyFont="1" applyFill="1" applyBorder="1" applyAlignment="1">
      <alignment horizontal="left" vertical="center" wrapText="1"/>
    </xf>
    <xf numFmtId="0" fontId="209" fillId="2" borderId="1" xfId="0" applyFont="1" applyFill="1" applyBorder="1" applyAlignment="1">
      <alignment horizontal="center" vertical="center" wrapText="1"/>
    </xf>
    <xf numFmtId="0" fontId="209" fillId="2" borderId="0" xfId="0" applyFont="1" applyFill="1" applyAlignment="1">
      <alignment horizontal="right" vertical="center" wrapText="1"/>
    </xf>
    <xf numFmtId="0" fontId="207" fillId="0" borderId="0" xfId="0" applyFont="1" applyAlignment="1">
      <alignment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10" fontId="207" fillId="0" borderId="0" xfId="0" applyNumberFormat="1" applyFont="1" applyAlignment="1">
      <alignment vertical="center"/>
    </xf>
    <xf numFmtId="0" fontId="207" fillId="0" borderId="0" xfId="0" applyFont="1" applyFill="1" applyAlignment="1">
      <alignment vertical="center"/>
    </xf>
    <xf numFmtId="14" fontId="207" fillId="0" borderId="0" xfId="0" applyNumberFormat="1" applyFont="1" applyBorder="1" applyAlignment="1">
      <alignment vertical="center"/>
    </xf>
    <xf numFmtId="4" fontId="207" fillId="0" borderId="0" xfId="0" applyNumberFormat="1" applyFont="1" applyBorder="1" applyAlignment="1">
      <alignment vertical="center"/>
    </xf>
    <xf numFmtId="10" fontId="207" fillId="0" borderId="0" xfId="0" applyNumberFormat="1" applyFont="1" applyBorder="1" applyAlignment="1">
      <alignment vertical="center"/>
    </xf>
    <xf numFmtId="10" fontId="207" fillId="0" borderId="0" xfId="1" applyNumberFormat="1" applyFont="1" applyAlignment="1">
      <alignment horizontal="center" vertical="center"/>
    </xf>
    <xf numFmtId="9" fontId="207" fillId="0" borderId="0" xfId="0" applyNumberFormat="1" applyFont="1" applyAlignment="1">
      <alignment horizontal="center" vertical="center"/>
    </xf>
    <xf numFmtId="164" fontId="207" fillId="0" borderId="0" xfId="0" applyNumberFormat="1" applyFont="1" applyAlignment="1">
      <alignment horizontal="center" vertical="center"/>
    </xf>
    <xf numFmtId="3" fontId="207" fillId="0" borderId="0" xfId="0" applyNumberFormat="1" applyFont="1" applyAlignment="1">
      <alignment horizontal="center" vertical="center"/>
    </xf>
    <xf numFmtId="14" fontId="207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 wrapText="1"/>
    </xf>
    <xf numFmtId="4" fontId="20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7" fillId="0" borderId="0" xfId="1" applyNumberFormat="1" applyFont="1" applyAlignment="1">
      <alignment horizontal="center" vertical="center"/>
    </xf>
    <xf numFmtId="14" fontId="211" fillId="0" borderId="0" xfId="0" applyNumberFormat="1" applyFont="1" applyAlignment="1">
      <alignment horizontal="center" vertical="center"/>
    </xf>
    <xf numFmtId="0" fontId="211" fillId="0" borderId="0" xfId="0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164" fontId="211" fillId="0" borderId="0" xfId="0" applyNumberFormat="1" applyFont="1" applyAlignment="1">
      <alignment horizontal="center" vertical="center"/>
    </xf>
    <xf numFmtId="10" fontId="211" fillId="0" borderId="0" xfId="1" applyNumberFormat="1" applyFont="1" applyAlignment="1">
      <alignment horizontal="center" vertical="center"/>
    </xf>
    <xf numFmtId="3" fontId="211" fillId="0" borderId="0" xfId="0" applyNumberFormat="1" applyFont="1" applyAlignment="1">
      <alignment horizontal="center" vertical="center"/>
    </xf>
    <xf numFmtId="0" fontId="211" fillId="0" borderId="0" xfId="0" applyFont="1" applyAlignment="1">
      <alignment horizontal="center" vertical="center" wrapText="1"/>
    </xf>
    <xf numFmtId="16" fontId="208" fillId="0" borderId="0" xfId="0" applyNumberFormat="1" applyFont="1" applyAlignment="1">
      <alignment horizontal="center" vertical="center"/>
    </xf>
    <xf numFmtId="4" fontId="207" fillId="0" borderId="2" xfId="0" applyNumberFormat="1" applyFont="1" applyBorder="1" applyAlignment="1">
      <alignment horizontal="center" vertical="center"/>
    </xf>
    <xf numFmtId="165" fontId="207" fillId="0" borderId="0" xfId="1" applyNumberFormat="1" applyFont="1" applyBorder="1" applyAlignment="1">
      <alignment horizontal="center" vertical="center"/>
    </xf>
    <xf numFmtId="4" fontId="207" fillId="0" borderId="3" xfId="1" applyNumberFormat="1" applyFont="1" applyBorder="1" applyAlignment="1">
      <alignment horizontal="center" vertical="center"/>
    </xf>
    <xf numFmtId="4" fontId="207" fillId="0" borderId="0" xfId="1" applyNumberFormat="1" applyFont="1" applyBorder="1" applyAlignment="1">
      <alignment horizontal="center" vertical="center"/>
    </xf>
    <xf numFmtId="17" fontId="208" fillId="0" borderId="0" xfId="0" applyNumberFormat="1" applyFont="1" applyAlignment="1">
      <alignment horizontal="center" vertical="center"/>
    </xf>
    <xf numFmtId="0" fontId="208" fillId="0" borderId="2" xfId="0" applyFont="1" applyBorder="1" applyAlignment="1">
      <alignment horizontal="center" vertical="center"/>
    </xf>
    <xf numFmtId="0" fontId="208" fillId="0" borderId="0" xfId="0" applyFont="1" applyBorder="1" applyAlignment="1">
      <alignment horizontal="center" vertical="center"/>
    </xf>
    <xf numFmtId="0" fontId="208" fillId="0" borderId="3" xfId="0" applyFont="1" applyBorder="1" applyAlignment="1">
      <alignment horizontal="center" vertical="center"/>
    </xf>
    <xf numFmtId="0" fontId="206" fillId="0" borderId="0" xfId="0" applyFont="1"/>
    <xf numFmtId="4" fontId="206" fillId="0" borderId="0" xfId="0" applyNumberFormat="1" applyFont="1" applyAlignment="1">
      <alignment vertical="center"/>
    </xf>
    <xf numFmtId="10" fontId="206" fillId="0" borderId="0" xfId="0" applyNumberFormat="1" applyFont="1" applyAlignment="1">
      <alignment vertical="center"/>
    </xf>
    <xf numFmtId="9" fontId="208" fillId="3" borderId="0" xfId="0" applyNumberFormat="1" applyFont="1" applyFill="1" applyBorder="1" applyAlignment="1">
      <alignment horizontal="center" vertical="center"/>
    </xf>
    <xf numFmtId="4" fontId="208" fillId="3" borderId="0" xfId="0" applyNumberFormat="1" applyFont="1" applyFill="1" applyBorder="1" applyAlignment="1">
      <alignment horizontal="center" vertical="center"/>
    </xf>
    <xf numFmtId="0" fontId="206" fillId="0" borderId="0" xfId="0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9" fontId="206" fillId="0" borderId="0" xfId="0" applyNumberFormat="1" applyFont="1" applyAlignment="1">
      <alignment horizontal="center" vertical="center"/>
    </xf>
    <xf numFmtId="166" fontId="206" fillId="0" borderId="0" xfId="0" applyNumberFormat="1" applyFont="1" applyAlignment="1">
      <alignment horizontal="center" vertical="center"/>
    </xf>
    <xf numFmtId="4" fontId="206" fillId="3" borderId="0" xfId="0" applyNumberFormat="1" applyFont="1" applyFill="1" applyAlignment="1">
      <alignment horizontal="center" vertical="center"/>
    </xf>
    <xf numFmtId="9" fontId="206" fillId="3" borderId="0" xfId="0" applyNumberFormat="1" applyFont="1" applyFill="1" applyAlignment="1">
      <alignment horizontal="center" vertical="center"/>
    </xf>
    <xf numFmtId="3" fontId="206" fillId="3" borderId="0" xfId="0" applyNumberFormat="1" applyFont="1" applyFill="1" applyAlignment="1">
      <alignment horizontal="center" vertical="center"/>
    </xf>
    <xf numFmtId="0" fontId="206" fillId="3" borderId="0" xfId="0" applyFont="1" applyFill="1" applyAlignment="1">
      <alignment horizontal="center" vertical="center"/>
    </xf>
    <xf numFmtId="0" fontId="206" fillId="0" borderId="4" xfId="0" applyFont="1" applyBorder="1" applyAlignment="1">
      <alignment horizontal="center" vertical="center"/>
    </xf>
    <xf numFmtId="0" fontId="206" fillId="0" borderId="5" xfId="0" applyFont="1" applyBorder="1" applyAlignment="1">
      <alignment horizontal="center" vertical="center"/>
    </xf>
    <xf numFmtId="0" fontId="206" fillId="0" borderId="6" xfId="0" applyFont="1" applyBorder="1" applyAlignment="1">
      <alignment horizontal="center" vertical="center"/>
    </xf>
    <xf numFmtId="0" fontId="206" fillId="0" borderId="0" xfId="0" applyFont="1" applyAlignment="1">
      <alignment horizontal="center" vertical="center" wrapText="1"/>
    </xf>
    <xf numFmtId="0" fontId="211" fillId="0" borderId="0" xfId="0" applyFont="1" applyAlignment="1">
      <alignment vertical="center"/>
    </xf>
    <xf numFmtId="14" fontId="211" fillId="0" borderId="0" xfId="0" applyNumberFormat="1" applyFont="1" applyAlignment="1">
      <alignment vertical="center"/>
    </xf>
    <xf numFmtId="4" fontId="211" fillId="0" borderId="0" xfId="0" applyNumberFormat="1" applyFont="1" applyAlignment="1">
      <alignment vertical="center"/>
    </xf>
    <xf numFmtId="14" fontId="206" fillId="0" borderId="0" xfId="0" applyNumberFormat="1" applyFont="1" applyAlignment="1">
      <alignment vertical="center"/>
    </xf>
    <xf numFmtId="0" fontId="205" fillId="0" borderId="0" xfId="0" applyFont="1" applyAlignment="1">
      <alignment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10" fontId="205" fillId="0" borderId="0" xfId="0" applyNumberFormat="1" applyFont="1" applyAlignment="1">
      <alignment vertical="center"/>
    </xf>
    <xf numFmtId="0" fontId="204" fillId="0" borderId="0" xfId="0" applyFont="1" applyAlignment="1">
      <alignment vertical="center"/>
    </xf>
    <xf numFmtId="0" fontId="204" fillId="0" borderId="0" xfId="0" applyFont="1" applyAlignment="1">
      <alignment horizontal="center" vertical="center"/>
    </xf>
    <xf numFmtId="16" fontId="204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vertical="center"/>
    </xf>
    <xf numFmtId="10" fontId="204" fillId="0" borderId="0" xfId="1" applyNumberFormat="1" applyFont="1" applyAlignment="1">
      <alignment vertical="center"/>
    </xf>
    <xf numFmtId="0" fontId="204" fillId="0" borderId="0" xfId="0" applyFont="1"/>
    <xf numFmtId="16" fontId="204" fillId="0" borderId="0" xfId="0" applyNumberFormat="1" applyFont="1" applyAlignment="1">
      <alignment vertical="center"/>
    </xf>
    <xf numFmtId="10" fontId="204" fillId="0" borderId="0" xfId="1" applyNumberFormat="1" applyFont="1" applyAlignment="1">
      <alignment horizontal="center" vertical="center"/>
    </xf>
    <xf numFmtId="165" fontId="204" fillId="0" borderId="0" xfId="1" applyNumberFormat="1" applyFont="1" applyAlignment="1">
      <alignment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10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/>
    </xf>
    <xf numFmtId="14" fontId="204" fillId="0" borderId="0" xfId="0" applyNumberFormat="1" applyFont="1" applyAlignment="1">
      <alignment vertical="center"/>
    </xf>
    <xf numFmtId="0" fontId="208" fillId="0" borderId="2" xfId="0" applyFont="1" applyBorder="1" applyAlignment="1">
      <alignment horizontal="center" vertical="center"/>
    </xf>
    <xf numFmtId="0" fontId="208" fillId="0" borderId="0" xfId="0" applyFont="1" applyBorder="1" applyAlignment="1">
      <alignment horizontal="center" vertical="center"/>
    </xf>
    <xf numFmtId="0" fontId="208" fillId="0" borderId="3" xfId="0" applyFont="1" applyBorder="1" applyAlignment="1">
      <alignment horizontal="center" vertical="center"/>
    </xf>
    <xf numFmtId="3" fontId="211" fillId="0" borderId="0" xfId="0" applyNumberFormat="1" applyFont="1" applyAlignment="1">
      <alignment vertical="center"/>
    </xf>
    <xf numFmtId="3" fontId="211" fillId="0" borderId="0" xfId="0" applyNumberFormat="1" applyFont="1" applyBorder="1" applyAlignment="1">
      <alignment vertical="center"/>
    </xf>
    <xf numFmtId="0" fontId="202" fillId="0" borderId="0" xfId="0" applyFont="1" applyAlignment="1">
      <alignment horizontal="center"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3" fontId="202" fillId="0" borderId="0" xfId="0" applyNumberFormat="1" applyFont="1" applyAlignment="1">
      <alignment vertical="center"/>
    </xf>
    <xf numFmtId="14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164" fontId="202" fillId="0" borderId="0" xfId="0" applyNumberFormat="1" applyFont="1" applyAlignment="1">
      <alignment horizontal="center" vertical="center"/>
    </xf>
    <xf numFmtId="10" fontId="202" fillId="0" borderId="0" xfId="1" applyNumberFormat="1" applyFont="1" applyAlignment="1">
      <alignment horizontal="center" vertical="center"/>
    </xf>
    <xf numFmtId="3" fontId="202" fillId="0" borderId="0" xfId="0" applyNumberFormat="1" applyFont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0" fontId="200" fillId="0" borderId="0" xfId="0" applyFont="1" applyAlignment="1">
      <alignment horizontal="center"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16" fontId="211" fillId="0" borderId="0" xfId="0" applyNumberFormat="1" applyFont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0" fontId="198" fillId="0" borderId="0" xfId="0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4" fontId="206" fillId="0" borderId="0" xfId="0" applyNumberFormat="1" applyFont="1" applyFill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196" fillId="0" borderId="0" xfId="0" applyFont="1" applyAlignment="1">
      <alignment horizontal="center" vertical="center"/>
    </xf>
    <xf numFmtId="14" fontId="196" fillId="0" borderId="0" xfId="0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164" fontId="196" fillId="0" borderId="0" xfId="0" applyNumberFormat="1" applyFont="1" applyAlignment="1">
      <alignment horizontal="center" vertical="center"/>
    </xf>
    <xf numFmtId="10" fontId="196" fillId="0" borderId="0" xfId="1" applyNumberFormat="1" applyFont="1" applyAlignment="1">
      <alignment horizontal="center" vertical="center"/>
    </xf>
    <xf numFmtId="3" fontId="196" fillId="0" borderId="0" xfId="0" applyNumberFormat="1" applyFont="1" applyAlignment="1">
      <alignment horizontal="center" vertical="center"/>
    </xf>
    <xf numFmtId="0" fontId="206" fillId="4" borderId="0" xfId="0" applyFont="1" applyFill="1" applyAlignment="1">
      <alignment horizontal="center" vertical="center"/>
    </xf>
    <xf numFmtId="0" fontId="206" fillId="4" borderId="5" xfId="0" applyFont="1" applyFill="1" applyBorder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0" fontId="194" fillId="0" borderId="0" xfId="0" applyFont="1" applyAlignment="1">
      <alignment horizontal="center" vertical="center"/>
    </xf>
    <xf numFmtId="9" fontId="206" fillId="4" borderId="0" xfId="0" applyNumberFormat="1" applyFont="1" applyFill="1" applyAlignment="1">
      <alignment horizontal="center" vertical="center"/>
    </xf>
    <xf numFmtId="0" fontId="193" fillId="0" borderId="0" xfId="0" applyFont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16" fontId="212" fillId="0" borderId="0" xfId="0" applyNumberFormat="1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0" fontId="212" fillId="0" borderId="0" xfId="0" applyFont="1" applyAlignment="1">
      <alignment horizontal="center" vertical="center"/>
    </xf>
    <xf numFmtId="0" fontId="191" fillId="0" borderId="0" xfId="0" applyFont="1" applyAlignment="1">
      <alignment horizontal="center" vertical="center"/>
    </xf>
    <xf numFmtId="4" fontId="206" fillId="0" borderId="11" xfId="0" applyNumberFormat="1" applyFont="1" applyBorder="1" applyAlignment="1">
      <alignment horizontal="center" vertical="center"/>
    </xf>
    <xf numFmtId="166" fontId="206" fillId="0" borderId="11" xfId="0" applyNumberFormat="1" applyFont="1" applyBorder="1" applyAlignment="1">
      <alignment horizontal="center" vertical="center"/>
    </xf>
    <xf numFmtId="0" fontId="206" fillId="0" borderId="11" xfId="0" applyFont="1" applyBorder="1" applyAlignment="1">
      <alignment horizontal="center" vertical="center"/>
    </xf>
    <xf numFmtId="165" fontId="206" fillId="0" borderId="11" xfId="1" applyNumberFormat="1" applyFont="1" applyBorder="1" applyAlignment="1">
      <alignment horizontal="center" vertical="center"/>
    </xf>
    <xf numFmtId="0" fontId="191" fillId="0" borderId="13" xfId="0" applyFont="1" applyBorder="1" applyAlignment="1">
      <alignment horizontal="center" vertical="center" wrapText="1"/>
    </xf>
    <xf numFmtId="0" fontId="206" fillId="0" borderId="0" xfId="0" applyFont="1" applyBorder="1" applyAlignment="1">
      <alignment horizontal="center" vertical="center" wrapText="1"/>
    </xf>
    <xf numFmtId="0" fontId="191" fillId="0" borderId="0" xfId="0" applyFont="1" applyBorder="1" applyAlignment="1">
      <alignment horizontal="center" vertical="center" wrapText="1"/>
    </xf>
    <xf numFmtId="0" fontId="206" fillId="0" borderId="14" xfId="0" applyFont="1" applyBorder="1" applyAlignment="1">
      <alignment horizontal="center" vertical="center" wrapText="1"/>
    </xf>
    <xf numFmtId="0" fontId="206" fillId="0" borderId="13" xfId="0" applyFont="1" applyBorder="1" applyAlignment="1">
      <alignment horizontal="center" vertical="center" wrapText="1"/>
    </xf>
    <xf numFmtId="0" fontId="191" fillId="0" borderId="14" xfId="0" applyFont="1" applyBorder="1" applyAlignment="1">
      <alignment horizontal="center" vertical="center" wrapText="1"/>
    </xf>
    <xf numFmtId="0" fontId="208" fillId="5" borderId="8" xfId="0" applyFont="1" applyFill="1" applyBorder="1" applyAlignment="1">
      <alignment horizontal="center" vertical="center" wrapText="1"/>
    </xf>
    <xf numFmtId="0" fontId="208" fillId="6" borderId="15" xfId="0" applyFont="1" applyFill="1" applyBorder="1" applyAlignment="1">
      <alignment horizontal="center" vertical="center" wrapText="1"/>
    </xf>
    <xf numFmtId="0" fontId="208" fillId="6" borderId="9" xfId="0" applyFont="1" applyFill="1" applyBorder="1" applyAlignment="1">
      <alignment horizontal="center" vertical="center" wrapText="1"/>
    </xf>
    <xf numFmtId="0" fontId="208" fillId="6" borderId="8" xfId="0" applyFont="1" applyFill="1" applyBorder="1" applyAlignment="1">
      <alignment horizontal="center" vertical="center" wrapText="1"/>
    </xf>
    <xf numFmtId="4" fontId="206" fillId="0" borderId="12" xfId="0" applyNumberFormat="1" applyFont="1" applyBorder="1" applyAlignment="1">
      <alignment horizontal="center" vertical="center"/>
    </xf>
    <xf numFmtId="0" fontId="208" fillId="0" borderId="7" xfId="0" applyFont="1" applyBorder="1" applyAlignment="1">
      <alignment horizontal="center" vertical="center" wrapText="1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6" fontId="188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0" fontId="183" fillId="0" borderId="0" xfId="0" applyFont="1" applyAlignment="1">
      <alignment vertical="center"/>
    </xf>
    <xf numFmtId="2" fontId="207" fillId="0" borderId="0" xfId="0" applyNumberFormat="1" applyFont="1" applyAlignment="1">
      <alignment vertical="center"/>
    </xf>
    <xf numFmtId="2" fontId="211" fillId="0" borderId="0" xfId="0" applyNumberFormat="1" applyFont="1" applyAlignment="1">
      <alignment vertical="center"/>
    </xf>
    <xf numFmtId="2" fontId="205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199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0" fontId="182" fillId="0" borderId="0" xfId="0" applyFont="1" applyBorder="1" applyAlignment="1">
      <alignment horizontal="center" vertical="center" wrapText="1"/>
    </xf>
    <xf numFmtId="0" fontId="182" fillId="0" borderId="14" xfId="0" applyFont="1" applyBorder="1" applyAlignment="1">
      <alignment horizontal="center" vertical="center" wrapText="1"/>
    </xf>
    <xf numFmtId="16" fontId="213" fillId="0" borderId="0" xfId="0" applyNumberFormat="1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206" fillId="0" borderId="11" xfId="0" applyFont="1" applyFill="1" applyBorder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180" fillId="0" borderId="0" xfId="0" applyFont="1" applyAlignment="1">
      <alignment horizontal="left" vertical="center"/>
    </xf>
    <xf numFmtId="0" fontId="206" fillId="0" borderId="16" xfId="0" applyFont="1" applyBorder="1" applyAlignment="1">
      <alignment horizontal="center" vertical="center"/>
    </xf>
    <xf numFmtId="0" fontId="206" fillId="0" borderId="17" xfId="0" applyFont="1" applyBorder="1" applyAlignment="1">
      <alignment horizontal="center" vertical="center"/>
    </xf>
    <xf numFmtId="0" fontId="206" fillId="0" borderId="18" xfId="0" applyFont="1" applyBorder="1" applyAlignment="1">
      <alignment horizontal="center" vertical="center"/>
    </xf>
    <xf numFmtId="0" fontId="206" fillId="0" borderId="10" xfId="0" applyFont="1" applyBorder="1" applyAlignment="1">
      <alignment horizontal="center" vertical="center"/>
    </xf>
    <xf numFmtId="0" fontId="206" fillId="0" borderId="12" xfId="0" applyFont="1" applyBorder="1" applyAlignment="1">
      <alignment horizontal="center" vertical="center"/>
    </xf>
    <xf numFmtId="0" fontId="206" fillId="0" borderId="19" xfId="0" applyFont="1" applyBorder="1" applyAlignment="1">
      <alignment horizontal="center" vertical="center"/>
    </xf>
    <xf numFmtId="0" fontId="206" fillId="0" borderId="20" xfId="0" applyFont="1" applyBorder="1" applyAlignment="1">
      <alignment horizontal="center" vertical="center"/>
    </xf>
    <xf numFmtId="0" fontId="206" fillId="0" borderId="21" xfId="0" applyFont="1" applyBorder="1" applyAlignment="1">
      <alignment horizontal="center" vertical="center"/>
    </xf>
    <xf numFmtId="166" fontId="206" fillId="0" borderId="11" xfId="0" applyNumberFormat="1" applyFont="1" applyFill="1" applyBorder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4" fontId="206" fillId="0" borderId="11" xfId="0" applyNumberFormat="1" applyFont="1" applyFill="1" applyBorder="1" applyAlignment="1">
      <alignment horizontal="center" vertical="center"/>
    </xf>
    <xf numFmtId="0" fontId="208" fillId="0" borderId="8" xfId="0" applyFont="1" applyBorder="1" applyAlignment="1">
      <alignment horizontal="center" vertical="center" wrapText="1"/>
    </xf>
    <xf numFmtId="0" fontId="208" fillId="0" borderId="11" xfId="0" applyFont="1" applyBorder="1" applyAlignment="1">
      <alignment horizontal="center" vertical="center"/>
    </xf>
    <xf numFmtId="16" fontId="206" fillId="0" borderId="10" xfId="0" applyNumberFormat="1" applyFont="1" applyBorder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4" fontId="177" fillId="0" borderId="11" xfId="0" applyNumberFormat="1" applyFont="1" applyBorder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4" fontId="176" fillId="0" borderId="11" xfId="0" applyNumberFormat="1" applyFont="1" applyBorder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5" fillId="0" borderId="0" xfId="0" applyFont="1" applyAlignment="1">
      <alignment vertical="center"/>
    </xf>
    <xf numFmtId="3" fontId="214" fillId="0" borderId="0" xfId="0" applyNumberFormat="1" applyFont="1" applyAlignment="1">
      <alignment vertical="center"/>
    </xf>
    <xf numFmtId="3" fontId="214" fillId="0" borderId="0" xfId="0" applyNumberFormat="1" applyFont="1" applyBorder="1" applyAlignment="1">
      <alignment vertical="center"/>
    </xf>
    <xf numFmtId="0" fontId="214" fillId="0" borderId="0" xfId="0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0" fillId="0" borderId="0" xfId="0" applyFont="1" applyAlignment="1">
      <alignment horizontal="center" vertical="center"/>
    </xf>
    <xf numFmtId="9" fontId="160" fillId="0" borderId="0" xfId="1" applyFont="1" applyAlignment="1">
      <alignment horizontal="center" vertical="center"/>
    </xf>
    <xf numFmtId="4" fontId="160" fillId="0" borderId="0" xfId="0" applyNumberFormat="1" applyFont="1" applyAlignment="1">
      <alignment horizontal="center" vertical="center"/>
    </xf>
    <xf numFmtId="0" fontId="160" fillId="7" borderId="0" xfId="0" applyFont="1" applyFill="1" applyAlignment="1">
      <alignment horizontal="center" vertical="center"/>
    </xf>
    <xf numFmtId="0" fontId="208" fillId="0" borderId="0" xfId="0" applyFont="1" applyFill="1" applyAlignment="1">
      <alignment horizontal="center" vertical="center"/>
    </xf>
    <xf numFmtId="0" fontId="160" fillId="0" borderId="0" xfId="0" applyFont="1" applyFill="1" applyAlignment="1">
      <alignment horizontal="center" vertical="center"/>
    </xf>
    <xf numFmtId="9" fontId="160" fillId="0" borderId="0" xfId="0" applyNumberFormat="1" applyFont="1" applyAlignment="1">
      <alignment horizontal="center" vertical="center"/>
    </xf>
    <xf numFmtId="0" fontId="160" fillId="8" borderId="0" xfId="0" applyFont="1" applyFill="1" applyAlignment="1">
      <alignment horizontal="center"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0" fontId="165" fillId="0" borderId="0" xfId="0" applyFont="1" applyFill="1" applyAlignment="1">
      <alignment vertical="center"/>
    </xf>
    <xf numFmtId="0" fontId="0" fillId="0" borderId="0" xfId="0" applyFill="1"/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9" fillId="0" borderId="0" xfId="0" applyNumberFormat="1" applyFont="1" applyBorder="1" applyAlignment="1">
      <alignment vertical="center"/>
    </xf>
    <xf numFmtId="4" fontId="129" fillId="0" borderId="0" xfId="0" applyNumberFormat="1" applyFont="1" applyBorder="1" applyAlignment="1">
      <alignment vertical="center"/>
    </xf>
    <xf numFmtId="10" fontId="175" fillId="0" borderId="0" xfId="0" applyNumberFormat="1" applyFont="1" applyBorder="1" applyAlignment="1">
      <alignment vertical="center"/>
    </xf>
    <xf numFmtId="3" fontId="129" fillId="0" borderId="0" xfId="0" applyNumberFormat="1" applyFont="1" applyBorder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4" fontId="127" fillId="0" borderId="0" xfId="0" applyNumberFormat="1" applyFont="1" applyBorder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2" applyFont="1" applyAlignment="1">
      <alignment vertical="center"/>
    </xf>
    <xf numFmtId="0" fontId="208" fillId="0" borderId="0" xfId="2" applyFont="1" applyAlignment="1">
      <alignment horizontal="center" vertical="center"/>
    </xf>
    <xf numFmtId="0" fontId="124" fillId="0" borderId="0" xfId="2" applyFont="1" applyAlignment="1">
      <alignment horizontal="center" vertical="center"/>
    </xf>
    <xf numFmtId="4" fontId="124" fillId="0" borderId="0" xfId="2" applyNumberFormat="1" applyFont="1" applyAlignment="1">
      <alignment horizontal="center" vertical="center"/>
    </xf>
    <xf numFmtId="165" fontId="124" fillId="0" borderId="0" xfId="2" applyNumberFormat="1" applyFont="1" applyAlignment="1">
      <alignment horizontal="center" vertical="center"/>
    </xf>
    <xf numFmtId="165" fontId="124" fillId="0" borderId="0" xfId="3" applyNumberFormat="1" applyFont="1" applyAlignment="1">
      <alignment horizontal="center" vertical="center"/>
    </xf>
    <xf numFmtId="165" fontId="124" fillId="0" borderId="0" xfId="1" applyNumberFormat="1" applyFont="1" applyAlignment="1">
      <alignment horizontal="center" vertical="center"/>
    </xf>
    <xf numFmtId="4" fontId="124" fillId="0" borderId="0" xfId="1" applyNumberFormat="1" applyFont="1" applyAlignment="1">
      <alignment horizontal="center" vertical="center"/>
    </xf>
    <xf numFmtId="0" fontId="123" fillId="0" borderId="0" xfId="0" applyFont="1" applyAlignment="1">
      <alignment vertical="center"/>
    </xf>
    <xf numFmtId="0" fontId="208" fillId="9" borderId="22" xfId="0" applyFont="1" applyFill="1" applyBorder="1" applyAlignment="1">
      <alignment horizontal="right" vertical="center"/>
    </xf>
    <xf numFmtId="4" fontId="123" fillId="0" borderId="0" xfId="0" applyNumberFormat="1" applyFont="1" applyAlignment="1">
      <alignment vertical="center"/>
    </xf>
    <xf numFmtId="165" fontId="123" fillId="0" borderId="0" xfId="0" applyNumberFormat="1" applyFont="1" applyAlignment="1">
      <alignment vertical="center"/>
    </xf>
    <xf numFmtId="4" fontId="208" fillId="9" borderId="23" xfId="0" applyNumberFormat="1" applyFont="1" applyFill="1" applyBorder="1" applyAlignment="1">
      <alignment vertical="center"/>
    </xf>
    <xf numFmtId="165" fontId="208" fillId="9" borderId="23" xfId="0" applyNumberFormat="1" applyFont="1" applyFill="1" applyBorder="1" applyAlignment="1">
      <alignment vertical="center"/>
    </xf>
    <xf numFmtId="14" fontId="122" fillId="0" borderId="0" xfId="0" applyNumberFormat="1" applyFont="1" applyAlignment="1">
      <alignment vertical="center"/>
    </xf>
    <xf numFmtId="0" fontId="122" fillId="0" borderId="0" xfId="0" applyFont="1" applyAlignment="1">
      <alignment horizontal="center" vertical="center"/>
    </xf>
    <xf numFmtId="14" fontId="122" fillId="0" borderId="0" xfId="0" applyNumberFormat="1" applyFont="1" applyAlignment="1">
      <alignment horizontal="center" vertical="center"/>
    </xf>
    <xf numFmtId="4" fontId="122" fillId="0" borderId="0" xfId="0" applyNumberFormat="1" applyFont="1" applyAlignment="1">
      <alignment horizontal="center" vertical="center"/>
    </xf>
    <xf numFmtId="167" fontId="122" fillId="0" borderId="0" xfId="0" applyNumberFormat="1" applyFont="1" applyAlignment="1">
      <alignment horizontal="center" vertical="center"/>
    </xf>
    <xf numFmtId="165" fontId="122" fillId="0" borderId="0" xfId="1" applyNumberFormat="1" applyFont="1" applyAlignment="1">
      <alignment horizontal="center" vertical="center"/>
    </xf>
    <xf numFmtId="0" fontId="122" fillId="0" borderId="0" xfId="0" applyFont="1" applyAlignment="1">
      <alignment horizontal="center" vertical="center" wrapText="1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1" fillId="0" borderId="0" xfId="0" applyFont="1" applyAlignment="1">
      <alignment horizontal="center" vertical="center"/>
    </xf>
    <xf numFmtId="4" fontId="121" fillId="0" borderId="0" xfId="0" applyNumberFormat="1" applyFont="1" applyAlignment="1">
      <alignment horizontal="center" vertical="center"/>
    </xf>
    <xf numFmtId="4" fontId="122" fillId="10" borderId="0" xfId="0" applyNumberFormat="1" applyFont="1" applyFill="1" applyAlignment="1">
      <alignment horizontal="center"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20" fillId="0" borderId="0" xfId="0" applyFont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8" fillId="0" borderId="0" xfId="0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10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6" fillId="0" borderId="0" xfId="0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/>
    <xf numFmtId="0" fontId="114" fillId="0" borderId="0" xfId="0" applyFont="1" applyAlignment="1">
      <alignment horizontal="center" vertical="center"/>
    </xf>
    <xf numFmtId="16" fontId="114" fillId="0" borderId="0" xfId="0" applyNumberFormat="1" applyFont="1" applyAlignment="1">
      <alignment horizontal="center" vertical="center"/>
    </xf>
    <xf numFmtId="4" fontId="114" fillId="0" borderId="0" xfId="0" applyNumberFormat="1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4" fontId="113" fillId="0" borderId="0" xfId="1" applyNumberFormat="1" applyFont="1" applyAlignment="1">
      <alignment horizontal="center" vertical="center"/>
    </xf>
    <xf numFmtId="10" fontId="113" fillId="0" borderId="0" xfId="1" applyNumberFormat="1" applyFont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4" fontId="112" fillId="0" borderId="0" xfId="0" applyNumberFormat="1" applyFont="1" applyAlignment="1">
      <alignment horizontal="center" vertical="center"/>
    </xf>
    <xf numFmtId="16" fontId="112" fillId="0" borderId="0" xfId="0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4" fontId="112" fillId="0" borderId="0" xfId="1" applyNumberFormat="1" applyFont="1" applyAlignment="1">
      <alignment horizontal="center" vertical="center"/>
    </xf>
    <xf numFmtId="10" fontId="112" fillId="0" borderId="0" xfId="1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0" fontId="111" fillId="0" borderId="0" xfId="0" applyFont="1"/>
    <xf numFmtId="165" fontId="114" fillId="0" borderId="0" xfId="1" applyNumberFormat="1" applyFont="1"/>
    <xf numFmtId="4" fontId="114" fillId="0" borderId="0" xfId="0" applyNumberFormat="1" applyFont="1"/>
    <xf numFmtId="16" fontId="215" fillId="0" borderId="0" xfId="0" applyNumberFormat="1" applyFont="1" applyAlignment="1">
      <alignment horizontal="center" vertical="center"/>
    </xf>
    <xf numFmtId="0" fontId="215" fillId="0" borderId="0" xfId="0" applyFont="1" applyAlignment="1">
      <alignment horizontal="center" vertical="center"/>
    </xf>
    <xf numFmtId="4" fontId="215" fillId="0" borderId="0" xfId="0" applyNumberFormat="1" applyFont="1" applyAlignment="1">
      <alignment horizontal="center" vertical="center"/>
    </xf>
    <xf numFmtId="4" fontId="215" fillId="0" borderId="0" xfId="1" applyNumberFormat="1" applyFont="1" applyAlignment="1">
      <alignment horizontal="center" vertical="center"/>
    </xf>
    <xf numFmtId="10" fontId="215" fillId="0" borderId="0" xfId="1" applyNumberFormat="1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 wrapText="1"/>
    </xf>
    <xf numFmtId="20" fontId="112" fillId="0" borderId="0" xfId="0" applyNumberFormat="1" applyFont="1" applyAlignment="1">
      <alignment horizontal="center" vertical="center"/>
    </xf>
    <xf numFmtId="20" fontId="114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20" fontId="215" fillId="0" borderId="0" xfId="0" applyNumberFormat="1" applyFont="1" applyAlignment="1">
      <alignment horizontal="center" vertical="center"/>
    </xf>
    <xf numFmtId="16" fontId="114" fillId="0" borderId="0" xfId="0" applyNumberFormat="1" applyFont="1"/>
    <xf numFmtId="16" fontId="110" fillId="0" borderId="0" xfId="0" applyNumberFormat="1" applyFont="1" applyAlignment="1">
      <alignment horizontal="center" vertical="center"/>
    </xf>
    <xf numFmtId="10" fontId="110" fillId="0" borderId="0" xfId="1" applyNumberFormat="1" applyFont="1" applyAlignment="1">
      <alignment horizontal="center" vertical="center"/>
    </xf>
    <xf numFmtId="4" fontId="110" fillId="0" borderId="0" xfId="1" applyNumberFormat="1" applyFont="1" applyAlignment="1">
      <alignment horizontal="center" vertical="center"/>
    </xf>
    <xf numFmtId="20" fontId="110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4" fontId="108" fillId="0" borderId="0" xfId="0" applyNumberFormat="1" applyFont="1" applyAlignment="1">
      <alignment horizontal="center" vertical="center"/>
    </xf>
    <xf numFmtId="0" fontId="107" fillId="0" borderId="0" xfId="0" applyFont="1"/>
    <xf numFmtId="16" fontId="215" fillId="10" borderId="0" xfId="0" applyNumberFormat="1" applyFont="1" applyFill="1" applyAlignment="1">
      <alignment horizontal="center" vertical="center"/>
    </xf>
    <xf numFmtId="0" fontId="215" fillId="10" borderId="0" xfId="0" applyFont="1" applyFill="1" applyAlignment="1">
      <alignment horizontal="center" vertical="center"/>
    </xf>
    <xf numFmtId="0" fontId="114" fillId="10" borderId="0" xfId="0" applyFont="1" applyFill="1" applyAlignment="1">
      <alignment horizontal="center" vertical="center"/>
    </xf>
    <xf numFmtId="4" fontId="215" fillId="10" borderId="0" xfId="0" applyNumberFormat="1" applyFont="1" applyFill="1" applyAlignment="1">
      <alignment horizontal="center" vertical="center"/>
    </xf>
    <xf numFmtId="10" fontId="215" fillId="10" borderId="0" xfId="1" applyNumberFormat="1" applyFont="1" applyFill="1" applyAlignment="1">
      <alignment horizontal="center" vertical="center"/>
    </xf>
    <xf numFmtId="4" fontId="215" fillId="10" borderId="0" xfId="1" applyNumberFormat="1" applyFont="1" applyFill="1" applyAlignment="1">
      <alignment horizontal="center" vertical="center"/>
    </xf>
    <xf numFmtId="0" fontId="106" fillId="0" borderId="0" xfId="0" applyFont="1"/>
    <xf numFmtId="4" fontId="106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64" fontId="122" fillId="0" borderId="0" xfId="0" applyNumberFormat="1" applyFont="1" applyAlignment="1">
      <alignment horizontal="center" vertical="center"/>
    </xf>
    <xf numFmtId="0" fontId="105" fillId="0" borderId="0" xfId="2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10" fontId="122" fillId="0" borderId="0" xfId="0" applyNumberFormat="1" applyFont="1" applyAlignment="1">
      <alignment horizontal="center" vertical="center"/>
    </xf>
    <xf numFmtId="10" fontId="122" fillId="0" borderId="0" xfId="1" applyNumberFormat="1" applyFont="1" applyAlignment="1">
      <alignment horizontal="center" vertical="center"/>
    </xf>
    <xf numFmtId="4" fontId="122" fillId="3" borderId="0" xfId="0" applyNumberFormat="1" applyFont="1" applyFill="1" applyAlignment="1">
      <alignment horizontal="center" vertical="center"/>
    </xf>
    <xf numFmtId="10" fontId="122" fillId="3" borderId="0" xfId="0" applyNumberFormat="1" applyFont="1" applyFill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3" fillId="0" borderId="0" xfId="0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164" fontId="103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1" fillId="0" borderId="0" xfId="0" applyNumberFormat="1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164" fontId="101" fillId="0" borderId="0" xfId="0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165" fontId="101" fillId="0" borderId="0" xfId="1" applyNumberFormat="1" applyFont="1" applyAlignment="1">
      <alignment horizontal="center" vertical="center"/>
    </xf>
    <xf numFmtId="4" fontId="101" fillId="3" borderId="0" xfId="0" applyNumberFormat="1" applyFont="1" applyFill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100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16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65" fontId="100" fillId="0" borderId="0" xfId="1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64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65" fontId="99" fillId="0" borderId="0" xfId="1" applyNumberFormat="1" applyFont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horizontal="center" vertical="center"/>
    </xf>
    <xf numFmtId="1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217" fillId="0" borderId="0" xfId="0" applyNumberFormat="1" applyFont="1" applyAlignment="1">
      <alignment horizontal="center" vertical="center"/>
    </xf>
    <xf numFmtId="0" fontId="217" fillId="0" borderId="0" xfId="0" applyFont="1" applyAlignment="1">
      <alignment horizontal="center" vertical="center"/>
    </xf>
    <xf numFmtId="164" fontId="217" fillId="0" borderId="0" xfId="0" applyNumberFormat="1" applyFont="1" applyAlignment="1">
      <alignment horizontal="center" vertical="center"/>
    </xf>
    <xf numFmtId="4" fontId="217" fillId="0" borderId="0" xfId="0" applyNumberFormat="1" applyFont="1" applyAlignment="1">
      <alignment horizontal="center" vertical="center"/>
    </xf>
    <xf numFmtId="165" fontId="217" fillId="0" borderId="0" xfId="1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vertical="center"/>
    </xf>
    <xf numFmtId="10" fontId="217" fillId="0" borderId="0" xfId="0" applyNumberFormat="1" applyFont="1" applyBorder="1" applyAlignment="1">
      <alignment vertical="center"/>
    </xf>
    <xf numFmtId="3" fontId="217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217" fillId="0" borderId="0" xfId="0" applyFont="1" applyFill="1" applyAlignment="1">
      <alignment vertical="center"/>
    </xf>
    <xf numFmtId="4" fontId="217" fillId="0" borderId="0" xfId="0" applyNumberFormat="1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65" fontId="88" fillId="0" borderId="0" xfId="1" applyNumberFormat="1" applyFont="1" applyAlignment="1">
      <alignment horizontal="center"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8" fillId="0" borderId="0" xfId="0" applyFont="1" applyAlignment="1">
      <alignment horizontal="left" vertical="center"/>
    </xf>
    <xf numFmtId="0" fontId="95" fillId="0" borderId="0" xfId="0" applyFont="1" applyAlignment="1">
      <alignment horizontal="left" vertical="center"/>
    </xf>
    <xf numFmtId="0" fontId="88" fillId="0" borderId="0" xfId="4" applyFont="1" applyAlignment="1">
      <alignment vertical="center"/>
    </xf>
    <xf numFmtId="4" fontId="88" fillId="3" borderId="0" xfId="4" applyNumberFormat="1" applyFont="1" applyFill="1" applyAlignment="1">
      <alignment vertical="center"/>
    </xf>
    <xf numFmtId="165" fontId="88" fillId="3" borderId="0" xfId="4" applyNumberFormat="1" applyFont="1" applyFill="1" applyAlignment="1">
      <alignment vertical="center"/>
    </xf>
    <xf numFmtId="4" fontId="88" fillId="0" borderId="0" xfId="4" applyNumberFormat="1" applyFont="1" applyAlignment="1">
      <alignment vertical="center"/>
    </xf>
    <xf numFmtId="9" fontId="88" fillId="0" borderId="0" xfId="4" applyNumberFormat="1" applyFont="1" applyAlignment="1">
      <alignment vertical="center"/>
    </xf>
    <xf numFmtId="165" fontId="88" fillId="0" borderId="0" xfId="4" applyNumberFormat="1" applyFont="1" applyAlignment="1">
      <alignment vertical="center"/>
    </xf>
    <xf numFmtId="168" fontId="88" fillId="0" borderId="0" xfId="4" applyNumberFormat="1" applyFont="1" applyAlignment="1">
      <alignment vertical="center"/>
    </xf>
    <xf numFmtId="10" fontId="88" fillId="0" borderId="0" xfId="5" applyNumberFormat="1" applyFont="1" applyAlignment="1">
      <alignment vertical="center"/>
    </xf>
    <xf numFmtId="0" fontId="88" fillId="3" borderId="0" xfId="4" applyFont="1" applyFill="1" applyAlignment="1">
      <alignment vertical="center"/>
    </xf>
    <xf numFmtId="4" fontId="88" fillId="0" borderId="0" xfId="4" applyNumberFormat="1" applyFont="1" applyFill="1" applyAlignment="1">
      <alignment vertical="center"/>
    </xf>
    <xf numFmtId="165" fontId="88" fillId="0" borderId="0" xfId="5" applyNumberFormat="1" applyFont="1" applyFill="1" applyAlignment="1">
      <alignment vertical="center"/>
    </xf>
    <xf numFmtId="0" fontId="208" fillId="11" borderId="24" xfId="4" applyFont="1" applyFill="1" applyBorder="1" applyAlignment="1">
      <alignment vertical="center"/>
    </xf>
    <xf numFmtId="10" fontId="208" fillId="11" borderId="25" xfId="5" applyNumberFormat="1" applyFont="1" applyFill="1" applyBorder="1" applyAlignment="1">
      <alignment vertical="center"/>
    </xf>
    <xf numFmtId="0" fontId="208" fillId="11" borderId="26" xfId="4" applyFont="1" applyFill="1" applyBorder="1" applyAlignment="1">
      <alignment vertical="center"/>
    </xf>
    <xf numFmtId="4" fontId="208" fillId="11" borderId="27" xfId="4" applyNumberFormat="1" applyFont="1" applyFill="1" applyBorder="1" applyAlignment="1">
      <alignment vertical="center"/>
    </xf>
    <xf numFmtId="0" fontId="208" fillId="12" borderId="4" xfId="4" applyFont="1" applyFill="1" applyBorder="1" applyAlignment="1">
      <alignment vertical="center"/>
    </xf>
    <xf numFmtId="10" fontId="208" fillId="12" borderId="6" xfId="5" applyNumberFormat="1" applyFont="1" applyFill="1" applyBorder="1" applyAlignment="1">
      <alignment vertical="center"/>
    </xf>
    <xf numFmtId="0" fontId="208" fillId="13" borderId="24" xfId="4" applyFont="1" applyFill="1" applyBorder="1" applyAlignment="1">
      <alignment vertical="center"/>
    </xf>
    <xf numFmtId="10" fontId="208" fillId="13" borderId="25" xfId="5" applyNumberFormat="1" applyFont="1" applyFill="1" applyBorder="1" applyAlignment="1">
      <alignment vertical="center"/>
    </xf>
    <xf numFmtId="0" fontId="208" fillId="13" borderId="26" xfId="4" applyFont="1" applyFill="1" applyBorder="1" applyAlignment="1">
      <alignment vertical="center"/>
    </xf>
    <xf numFmtId="10" fontId="208" fillId="13" borderId="27" xfId="5" applyNumberFormat="1" applyFont="1" applyFill="1" applyBorder="1" applyAlignment="1">
      <alignment vertical="center"/>
    </xf>
    <xf numFmtId="166" fontId="88" fillId="3" borderId="0" xfId="4" applyNumberFormat="1" applyFont="1" applyFill="1" applyAlignment="1">
      <alignment vertical="center"/>
    </xf>
    <xf numFmtId="0" fontId="87" fillId="0" borderId="0" xfId="4" applyFont="1" applyAlignment="1">
      <alignment vertical="center"/>
    </xf>
    <xf numFmtId="0" fontId="88" fillId="3" borderId="25" xfId="4" applyFont="1" applyFill="1" applyBorder="1" applyAlignment="1">
      <alignment vertical="center"/>
    </xf>
    <xf numFmtId="0" fontId="208" fillId="0" borderId="24" xfId="4" applyFont="1" applyBorder="1" applyAlignment="1">
      <alignment vertical="center"/>
    </xf>
    <xf numFmtId="0" fontId="208" fillId="0" borderId="26" xfId="4" applyFont="1" applyBorder="1" applyAlignment="1">
      <alignment vertical="center"/>
    </xf>
    <xf numFmtId="165" fontId="88" fillId="0" borderId="27" xfId="1" applyNumberFormat="1" applyFont="1" applyBorder="1" applyAlignment="1">
      <alignment vertical="center"/>
    </xf>
    <xf numFmtId="4" fontId="88" fillId="3" borderId="25" xfId="4" applyNumberFormat="1" applyFont="1" applyFill="1" applyBorder="1" applyAlignment="1">
      <alignment vertical="center"/>
    </xf>
    <xf numFmtId="4" fontId="88" fillId="0" borderId="27" xfId="4" applyNumberFormat="1" applyFont="1" applyBorder="1" applyAlignment="1">
      <alignment vertical="center"/>
    </xf>
    <xf numFmtId="165" fontId="88" fillId="0" borderId="0" xfId="1" applyNumberFormat="1" applyFont="1" applyAlignment="1">
      <alignment vertical="center"/>
    </xf>
    <xf numFmtId="4" fontId="88" fillId="0" borderId="0" xfId="4" applyNumberFormat="1" applyFont="1" applyBorder="1" applyAlignment="1">
      <alignment vertical="center"/>
    </xf>
    <xf numFmtId="0" fontId="86" fillId="0" borderId="0" xfId="4" applyFont="1" applyAlignment="1">
      <alignment vertical="center"/>
    </xf>
    <xf numFmtId="4" fontId="88" fillId="0" borderId="0" xfId="1" applyNumberFormat="1" applyFont="1" applyAlignment="1">
      <alignment vertical="center"/>
    </xf>
    <xf numFmtId="4" fontId="86" fillId="0" borderId="0" xfId="4" applyNumberFormat="1" applyFont="1" applyAlignment="1">
      <alignment vertical="center"/>
    </xf>
    <xf numFmtId="165" fontId="88" fillId="3" borderId="0" xfId="1" applyNumberFormat="1" applyFont="1" applyFill="1" applyAlignment="1">
      <alignment vertical="center"/>
    </xf>
    <xf numFmtId="0" fontId="208" fillId="0" borderId="0" xfId="4" applyFont="1" applyBorder="1" applyAlignment="1">
      <alignment vertical="center"/>
    </xf>
    <xf numFmtId="165" fontId="85" fillId="3" borderId="0" xfId="4" applyNumberFormat="1" applyFont="1" applyFill="1" applyAlignment="1">
      <alignment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/>
    <xf numFmtId="0" fontId="84" fillId="0" borderId="0" xfId="0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0" fontId="84" fillId="0" borderId="0" xfId="0" applyFont="1" applyAlignment="1">
      <alignment horizontal="center" vertical="center"/>
    </xf>
    <xf numFmtId="0" fontId="207" fillId="0" borderId="0" xfId="0" applyFont="1" applyFill="1" applyBorder="1" applyAlignment="1">
      <alignment vertical="center"/>
    </xf>
    <xf numFmtId="0" fontId="206" fillId="0" borderId="0" xfId="0" applyFont="1" applyFill="1" applyAlignment="1">
      <alignment vertical="center"/>
    </xf>
    <xf numFmtId="0" fontId="211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9" fillId="0" borderId="0" xfId="0" applyFont="1" applyFill="1" applyBorder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7" fillId="0" borderId="0" xfId="0" applyNumberFormat="1" applyFont="1" applyFill="1" applyBorder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9" fillId="0" borderId="0" xfId="0" applyNumberFormat="1" applyFont="1" applyFill="1" applyBorder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207" fillId="0" borderId="0" xfId="0" applyFont="1" applyAlignment="1">
      <alignment horizontal="center" vertical="center" wrapText="1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2" fillId="0" borderId="0" xfId="0" applyFont="1" applyAlignment="1">
      <alignment horizontal="center" vertical="center"/>
    </xf>
    <xf numFmtId="16" fontId="208" fillId="0" borderId="0" xfId="0" applyNumberFormat="1" applyFont="1" applyFill="1" applyAlignment="1">
      <alignment horizontal="center" vertical="center"/>
    </xf>
    <xf numFmtId="4" fontId="207" fillId="0" borderId="0" xfId="0" applyNumberFormat="1" applyFont="1" applyFill="1" applyAlignment="1">
      <alignment horizontal="center" vertical="center"/>
    </xf>
    <xf numFmtId="0" fontId="207" fillId="0" borderId="0" xfId="0" applyFont="1" applyFill="1" applyAlignment="1">
      <alignment horizontal="center" vertical="center"/>
    </xf>
    <xf numFmtId="0" fontId="82" fillId="0" borderId="0" xfId="4" applyFont="1" applyAlignment="1">
      <alignment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207" fillId="3" borderId="0" xfId="0" applyFont="1" applyFill="1"/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0" fontId="208" fillId="0" borderId="0" xfId="0" applyFont="1"/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6" fillId="0" borderId="0" xfId="0" applyFont="1" applyAlignment="1">
      <alignment horizontal="center" vertical="center"/>
    </xf>
    <xf numFmtId="0" fontId="76" fillId="0" borderId="0" xfId="0" applyFont="1" applyAlignment="1">
      <alignment horizontal="left" vertical="center"/>
    </xf>
    <xf numFmtId="4" fontId="76" fillId="0" borderId="0" xfId="0" applyNumberFormat="1" applyFont="1" applyAlignment="1">
      <alignment horizontal="center" vertical="center"/>
    </xf>
    <xf numFmtId="3" fontId="95" fillId="0" borderId="0" xfId="0" applyNumberFormat="1" applyFont="1" applyAlignment="1">
      <alignment horizontal="center"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horizontal="center" vertical="center"/>
    </xf>
    <xf numFmtId="4" fontId="208" fillId="0" borderId="0" xfId="0" applyNumberFormat="1" applyFont="1" applyFill="1" applyAlignment="1">
      <alignment horizontal="center"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219" fillId="15" borderId="1" xfId="0" applyFont="1" applyFill="1" applyBorder="1" applyAlignment="1">
      <alignment horizontal="center" vertical="center" wrapText="1"/>
    </xf>
    <xf numFmtId="0" fontId="219" fillId="15" borderId="1" xfId="0" applyFont="1" applyFill="1" applyBorder="1" applyAlignment="1">
      <alignment vertical="center" wrapText="1"/>
    </xf>
    <xf numFmtId="22" fontId="219" fillId="15" borderId="1" xfId="0" applyNumberFormat="1" applyFont="1" applyFill="1" applyBorder="1" applyAlignment="1">
      <alignment horizontal="center" vertical="center" wrapText="1"/>
    </xf>
    <xf numFmtId="8" fontId="220" fillId="15" borderId="1" xfId="0" applyNumberFormat="1" applyFont="1" applyFill="1" applyBorder="1" applyAlignment="1">
      <alignment horizontal="right" vertical="center" wrapText="1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14" fontId="69" fillId="0" borderId="0" xfId="0" applyNumberFormat="1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4" fontId="68" fillId="0" borderId="0" xfId="0" applyNumberFormat="1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/>
    </xf>
    <xf numFmtId="164" fontId="65" fillId="0" borderId="0" xfId="0" applyNumberFormat="1" applyFont="1" applyFill="1" applyBorder="1" applyAlignment="1">
      <alignment horizontal="center" vertical="center"/>
    </xf>
    <xf numFmtId="4" fontId="65" fillId="0" borderId="0" xfId="0" applyNumberFormat="1" applyFont="1" applyFill="1" applyBorder="1" applyAlignment="1">
      <alignment horizontal="center" vertical="center"/>
    </xf>
    <xf numFmtId="165" fontId="65" fillId="0" borderId="0" xfId="1" applyNumberFormat="1" applyFont="1" applyFill="1" applyBorder="1" applyAlignment="1">
      <alignment horizontal="center" vertical="center"/>
    </xf>
    <xf numFmtId="14" fontId="64" fillId="0" borderId="0" xfId="0" applyNumberFormat="1" applyFont="1" applyBorder="1" applyAlignment="1">
      <alignment horizontal="center" vertical="center"/>
    </xf>
    <xf numFmtId="164" fontId="64" fillId="0" borderId="0" xfId="0" applyNumberFormat="1" applyFont="1" applyBorder="1" applyAlignment="1">
      <alignment horizontal="center" vertical="center"/>
    </xf>
    <xf numFmtId="4" fontId="64" fillId="0" borderId="0" xfId="0" applyNumberFormat="1" applyFont="1" applyBorder="1" applyAlignment="1">
      <alignment horizontal="center" vertical="center"/>
    </xf>
    <xf numFmtId="165" fontId="64" fillId="0" borderId="0" xfId="1" applyNumberFormat="1" applyFont="1" applyBorder="1" applyAlignment="1">
      <alignment horizontal="center" vertical="center"/>
    </xf>
    <xf numFmtId="0" fontId="64" fillId="0" borderId="0" xfId="0" applyFont="1" applyFill="1" applyBorder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/>
    <xf numFmtId="0" fontId="60" fillId="0" borderId="0" xfId="0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3" fontId="60" fillId="0" borderId="0" xfId="0" applyNumberFormat="1" applyFont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4" fontId="60" fillId="0" borderId="0" xfId="1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top"/>
    </xf>
    <xf numFmtId="0" fontId="59" fillId="0" borderId="0" xfId="0" applyFont="1" applyAlignment="1">
      <alignment horizontal="center" vertical="center"/>
    </xf>
    <xf numFmtId="165" fontId="60" fillId="3" borderId="0" xfId="1" applyNumberFormat="1" applyFont="1" applyFill="1" applyAlignment="1">
      <alignment horizontal="center" vertical="center"/>
    </xf>
    <xf numFmtId="3" fontId="60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8" fillId="0" borderId="0" xfId="0" applyFont="1"/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Alignment="1">
      <alignment horizontal="center" vertical="center"/>
    </xf>
    <xf numFmtId="0" fontId="55" fillId="0" borderId="0" xfId="0" applyFont="1"/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3" fontId="55" fillId="0" borderId="0" xfId="0" applyNumberFormat="1" applyFont="1" applyBorder="1" applyAlignment="1">
      <alignment vertical="center"/>
    </xf>
    <xf numFmtId="4" fontId="55" fillId="0" borderId="0" xfId="0" applyNumberFormat="1" applyFont="1" applyAlignment="1">
      <alignment vertical="center"/>
    </xf>
    <xf numFmtId="4" fontId="55" fillId="0" borderId="0" xfId="0" applyNumberFormat="1" applyFont="1" applyAlignment="1">
      <alignment horizontal="center" vertical="center"/>
    </xf>
    <xf numFmtId="0" fontId="208" fillId="3" borderId="0" xfId="0" applyFont="1" applyFill="1" applyAlignment="1">
      <alignment horizontal="center" vertical="center" wrapText="1"/>
    </xf>
    <xf numFmtId="0" fontId="208" fillId="0" borderId="0" xfId="0" applyFont="1" applyAlignment="1">
      <alignment horizontal="center" vertical="top" wrapText="1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horizontal="center" vertical="center"/>
    </xf>
    <xf numFmtId="4" fontId="53" fillId="0" borderId="0" xfId="0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4" fontId="50" fillId="0" borderId="0" xfId="0" applyNumberFormat="1" applyFont="1" applyAlignment="1">
      <alignment vertical="center"/>
    </xf>
    <xf numFmtId="1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4" fontId="50" fillId="0" borderId="0" xfId="0" applyNumberFormat="1" applyFont="1" applyFill="1" applyAlignment="1">
      <alignment vertical="center"/>
    </xf>
    <xf numFmtId="0" fontId="49" fillId="0" borderId="0" xfId="0" applyFont="1" applyAlignment="1">
      <alignment horizontal="center"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4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4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4" fontId="24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4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49" fontId="207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211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19" fillId="0" borderId="0" xfId="0" quotePrefix="1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8" fillId="0" borderId="0" xfId="0" quotePrefix="1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8" fontId="221" fillId="15" borderId="1" xfId="0" applyNumberFormat="1" applyFont="1" applyFill="1" applyBorder="1" applyAlignment="1">
      <alignment horizontal="right" vertical="center" wrapText="1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5" fillId="0" borderId="0" xfId="0" pivotButton="1" applyFont="1"/>
    <xf numFmtId="0" fontId="5" fillId="0" borderId="0" xfId="0" applyFont="1"/>
    <xf numFmtId="4" fontId="5" fillId="0" borderId="0" xfId="0" applyNumberFormat="1" applyFont="1"/>
    <xf numFmtId="4" fontId="5" fillId="0" borderId="0" xfId="0" applyNumberFormat="1" applyFont="1" applyAlignment="1">
      <alignment horizontal="left"/>
    </xf>
    <xf numFmtId="3" fontId="5" fillId="0" borderId="0" xfId="0" applyNumberFormat="1" applyFont="1"/>
    <xf numFmtId="16" fontId="5" fillId="0" borderId="0" xfId="0" applyNumberFormat="1" applyFont="1"/>
    <xf numFmtId="0" fontId="5" fillId="0" borderId="0" xfId="0" pivotButton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4" fontId="5" fillId="0" borderId="0" xfId="0" applyNumberFormat="1" applyFont="1" applyAlignment="1">
      <alignment horizontal="left" vertical="center" indent="1"/>
    </xf>
    <xf numFmtId="165" fontId="5" fillId="0" borderId="0" xfId="0" applyNumberFormat="1" applyFont="1" applyAlignment="1">
      <alignment vertical="center"/>
    </xf>
    <xf numFmtId="0" fontId="5" fillId="0" borderId="0" xfId="0" applyFont="1" applyFill="1" applyAlignment="1">
      <alignment horizontal="left" vertical="center"/>
    </xf>
    <xf numFmtId="4" fontId="5" fillId="0" borderId="0" xfId="0" applyNumberFormat="1" applyFont="1" applyFill="1" applyAlignment="1">
      <alignment horizontal="left" vertical="center"/>
    </xf>
    <xf numFmtId="165" fontId="5" fillId="0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222" fillId="0" borderId="0" xfId="0" applyFont="1" applyFill="1" applyAlignment="1">
      <alignment vertical="center"/>
    </xf>
    <xf numFmtId="14" fontId="222" fillId="0" borderId="0" xfId="0" applyNumberFormat="1" applyFont="1" applyAlignment="1">
      <alignment vertical="center"/>
    </xf>
    <xf numFmtId="4" fontId="222" fillId="0" borderId="0" xfId="0" applyNumberFormat="1" applyFont="1" applyFill="1" applyAlignment="1">
      <alignment vertical="center"/>
    </xf>
    <xf numFmtId="4" fontId="222" fillId="0" borderId="0" xfId="0" applyNumberFormat="1" applyFont="1" applyAlignment="1">
      <alignment vertical="center"/>
    </xf>
    <xf numFmtId="49" fontId="222" fillId="0" borderId="0" xfId="0" applyNumberFormat="1" applyFont="1" applyAlignment="1">
      <alignment vertical="center"/>
    </xf>
    <xf numFmtId="3" fontId="222" fillId="0" borderId="0" xfId="0" applyNumberFormat="1" applyFont="1" applyAlignment="1">
      <alignment vertical="center"/>
    </xf>
    <xf numFmtId="169" fontId="22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08" fillId="0" borderId="4" xfId="4" applyFont="1" applyBorder="1" applyAlignment="1">
      <alignment horizontal="center" vertical="center"/>
    </xf>
    <xf numFmtId="0" fontId="208" fillId="0" borderId="6" xfId="4" applyFont="1" applyBorder="1" applyAlignment="1">
      <alignment horizontal="center" vertical="center"/>
    </xf>
    <xf numFmtId="0" fontId="218" fillId="14" borderId="4" xfId="4" applyFont="1" applyFill="1" applyBorder="1" applyAlignment="1">
      <alignment horizontal="center" vertical="center"/>
    </xf>
    <xf numFmtId="0" fontId="218" fillId="14" borderId="6" xfId="4" applyFont="1" applyFill="1" applyBorder="1" applyAlignment="1">
      <alignment horizontal="center" vertical="center"/>
    </xf>
    <xf numFmtId="0" fontId="208" fillId="0" borderId="2" xfId="0" applyFont="1" applyBorder="1" applyAlignment="1">
      <alignment horizontal="center" vertical="center"/>
    </xf>
    <xf numFmtId="0" fontId="208" fillId="0" borderId="0" xfId="0" applyFont="1" applyBorder="1" applyAlignment="1">
      <alignment horizontal="center" vertical="center"/>
    </xf>
    <xf numFmtId="0" fontId="208" fillId="0" borderId="3" xfId="0" applyFont="1" applyBorder="1" applyAlignment="1">
      <alignment horizontal="center" vertical="center"/>
    </xf>
    <xf numFmtId="0" fontId="186" fillId="0" borderId="13" xfId="0" applyFont="1" applyBorder="1" applyAlignment="1">
      <alignment horizontal="center" vertical="center"/>
    </xf>
    <xf numFmtId="0" fontId="206" fillId="0" borderId="0" xfId="0" applyFont="1" applyBorder="1" applyAlignment="1">
      <alignment horizontal="center" vertical="center"/>
    </xf>
    <xf numFmtId="0" fontId="206" fillId="0" borderId="14" xfId="0" applyFont="1" applyBorder="1" applyAlignment="1">
      <alignment horizontal="center" vertical="center"/>
    </xf>
    <xf numFmtId="0" fontId="186" fillId="0" borderId="0" xfId="0" applyFont="1" applyBorder="1" applyAlignment="1">
      <alignment horizontal="center" vertical="center"/>
    </xf>
    <xf numFmtId="0" fontId="186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1.8306229166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1.83062314814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1.83062361110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1.830623842594" createdVersion="6" refreshedVersion="6" minRefreshableVersion="3" recordCount="3908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18:02:31" count="35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18:02:31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5.383620601853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5.38362523148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5.38363032407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5.38363495370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5.383639120373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5.383641782406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5.383644560185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5.38360868055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77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5.383612384256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7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9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0"/>
    <x v="130"/>
    <x v="299"/>
    <s v="FC Barcelona vs Athletic Bilbao"/>
    <d v="2026-08-27T18:02: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324"/>
    </i>
    <i r="1">
      <x v="854"/>
    </i>
    <i r="1">
      <x v="796"/>
    </i>
    <i r="1">
      <x v="886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7"/>
    </i>
    <i r="1">
      <x v="34"/>
    </i>
    <i r="1">
      <x v="6"/>
    </i>
    <i r="1">
      <x v="18"/>
    </i>
    <i r="1">
      <x v="52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745">
      <pivotArea type="all" dataOnly="0" outline="0" fieldPosition="0"/>
    </format>
    <format dxfId="744">
      <pivotArea field="7" type="button" dataOnly="0" labelOnly="1" outline="0" axis="axisCol" fieldPosition="0"/>
    </format>
    <format dxfId="743">
      <pivotArea dataOnly="0" labelOnly="1" grandRow="1" outline="0" fieldPosition="0"/>
    </format>
    <format dxfId="742">
      <pivotArea type="all" dataOnly="0" outline="0" fieldPosition="0"/>
    </format>
    <format dxfId="741">
      <pivotArea field="7" type="button" dataOnly="0" labelOnly="1" outline="0" axis="axisCol" fieldPosition="0"/>
    </format>
    <format dxfId="740">
      <pivotArea dataOnly="0" labelOnly="1" grandRow="1" outline="0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 axis="axisCol" fieldPosition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 axis="axisCol" fieldPosition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type="all" dataOnly="0" outline="0" fieldPosition="0"/>
    </format>
    <format dxfId="726">
      <pivotArea outline="0" collapsedLevelsAreSubtotals="1" fieldPosition="0"/>
    </format>
    <format dxfId="725">
      <pivotArea field="7" type="button" dataOnly="0" labelOnly="1" outline="0" axis="axisCol" fieldPosition="0"/>
    </format>
    <format dxfId="724">
      <pivotArea dataOnly="0" labelOnly="1" outline="0" axis="axisValues" fieldPosition="0"/>
    </format>
    <format dxfId="723">
      <pivotArea dataOnly="0" labelOnly="1" grandRow="1" outline="0" fieldPosition="0"/>
    </format>
    <format dxfId="722">
      <pivotArea dataOnly="0" labelOnly="1" outline="0" axis="axisValues" fieldPosition="0"/>
    </format>
    <format dxfId="721">
      <pivotArea type="all" dataOnly="0" outline="0" fieldPosition="0"/>
    </format>
    <format dxfId="720">
      <pivotArea outline="0" collapsedLevelsAreSubtotals="1" fieldPosition="0"/>
    </format>
    <format dxfId="719">
      <pivotArea field="7" type="button" dataOnly="0" labelOnly="1" outline="0" axis="axisCol" fieldPosition="0"/>
    </format>
    <format dxfId="718">
      <pivotArea dataOnly="0" labelOnly="1" outline="0" axis="axisValues" fieldPosition="0"/>
    </format>
    <format dxfId="717">
      <pivotArea dataOnly="0" labelOnly="1" grandRow="1" outline="0" fieldPosition="0"/>
    </format>
    <format dxfId="716">
      <pivotArea dataOnly="0" labelOnly="1" outline="0" axis="axisValues" fieldPosition="0"/>
    </format>
    <format dxfId="715">
      <pivotArea type="all" dataOnly="0" outline="0" fieldPosition="0"/>
    </format>
    <format dxfId="714">
      <pivotArea outline="0" collapsedLevelsAreSubtotals="1" fieldPosition="0"/>
    </format>
    <format dxfId="713">
      <pivotArea field="7" type="button" dataOnly="0" labelOnly="1" outline="0" axis="axisCol" fieldPosition="0"/>
    </format>
    <format dxfId="712">
      <pivotArea dataOnly="0" labelOnly="1" outline="0" axis="axisValues" fieldPosition="0"/>
    </format>
    <format dxfId="711">
      <pivotArea dataOnly="0" labelOnly="1" grandRow="1" outline="0" fieldPosition="0"/>
    </format>
    <format dxfId="710">
      <pivotArea dataOnly="0" labelOnly="1" outline="0" axis="axisValues" fieldPosition="0"/>
    </format>
    <format dxfId="709">
      <pivotArea outline="0" collapsedLevelsAreSubtotals="1" fieldPosition="0"/>
    </format>
    <format dxfId="70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0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0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0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0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03">
      <pivotArea dataOnly="0" labelOnly="1" fieldPosition="0">
        <references count="1">
          <reference field="16" count="1">
            <x v="352"/>
          </reference>
        </references>
      </pivotArea>
    </format>
    <format dxfId="70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01">
      <pivotArea dataOnly="0" labelOnly="1" fieldPosition="0">
        <references count="1">
          <reference field="16" count="1">
            <x v="433"/>
          </reference>
        </references>
      </pivotArea>
    </format>
    <format dxfId="70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99">
      <pivotArea dataOnly="0" labelOnly="1" fieldPosition="0">
        <references count="1">
          <reference field="16" count="1">
            <x v="448"/>
          </reference>
        </references>
      </pivotArea>
    </format>
    <format dxfId="69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97">
      <pivotArea dataOnly="0" labelOnly="1" fieldPosition="0">
        <references count="1">
          <reference field="16" count="1">
            <x v="104"/>
          </reference>
        </references>
      </pivotArea>
    </format>
    <format dxfId="69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95">
      <pivotArea dataOnly="0" labelOnly="1" fieldPosition="0">
        <references count="1">
          <reference field="16" count="1">
            <x v="68"/>
          </reference>
        </references>
      </pivotArea>
    </format>
    <format dxfId="69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93">
      <pivotArea dataOnly="0" labelOnly="1" fieldPosition="0">
        <references count="1">
          <reference field="16" count="1">
            <x v="409"/>
          </reference>
        </references>
      </pivotArea>
    </format>
    <format dxfId="69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9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9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type="origin" dataOnly="0" labelOnly="1" outline="0" fieldPosition="0"/>
    </format>
    <format dxfId="686">
      <pivotArea field="7" type="button" dataOnly="0" labelOnly="1" outline="0" axis="axisCol" fieldPosition="0"/>
    </format>
    <format dxfId="685">
      <pivotArea field="-2" type="button" dataOnly="0" labelOnly="1" outline="0" axis="axisCol" fieldPosition="1"/>
    </format>
    <format dxfId="684">
      <pivotArea type="topRight" dataOnly="0" labelOnly="1" outline="0" fieldPosition="0"/>
    </format>
    <format dxfId="683">
      <pivotArea field="16" type="button" dataOnly="0" labelOnly="1" outline="0" axis="axisRow" fieldPosition="0"/>
    </format>
    <format dxfId="68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81">
      <pivotArea dataOnly="0" labelOnly="1" grandRow="1" outline="0" fieldPosition="0"/>
    </format>
    <format dxfId="680">
      <pivotArea dataOnly="0" labelOnly="1" fieldPosition="0">
        <references count="1">
          <reference field="7" count="0"/>
        </references>
      </pivotArea>
    </format>
    <format dxfId="6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84">
      <pivotArea type="all" dataOnly="0" outline="0" fieldPosition="0"/>
    </format>
    <format dxfId="783">
      <pivotArea field="7" type="button" dataOnly="0" labelOnly="1" outline="0" axis="axisPage" fieldPosition="0"/>
    </format>
    <format dxfId="782">
      <pivotArea dataOnly="0" labelOnly="1" grandRow="1" outline="0" fieldPosition="0"/>
    </format>
    <format dxfId="781">
      <pivotArea type="all" dataOnly="0" outline="0" fieldPosition="0"/>
    </format>
    <format dxfId="780">
      <pivotArea field="7" type="button" dataOnly="0" labelOnly="1" outline="0" axis="axisPage" fieldPosition="0"/>
    </format>
    <format dxfId="779">
      <pivotArea dataOnly="0" labelOnly="1" grandRow="1" outline="0" fieldPosition="0"/>
    </format>
    <format dxfId="778">
      <pivotArea type="all" dataOnly="0" outline="0" fieldPosition="0"/>
    </format>
    <format dxfId="777">
      <pivotArea outline="0" collapsedLevelsAreSubtotals="1" fieldPosition="0"/>
    </format>
    <format dxfId="776">
      <pivotArea field="7" type="button" dataOnly="0" labelOnly="1" outline="0" axis="axisPage" fieldPosition="0"/>
    </format>
    <format dxfId="775">
      <pivotArea dataOnly="0" labelOnly="1" outline="0" axis="axisValues" fieldPosition="0"/>
    </format>
    <format dxfId="774">
      <pivotArea dataOnly="0" labelOnly="1" grandRow="1" outline="0" fieldPosition="0"/>
    </format>
    <format dxfId="773">
      <pivotArea dataOnly="0" labelOnly="1" outline="0" axis="axisValues" fieldPosition="0"/>
    </format>
    <format dxfId="772">
      <pivotArea type="all" dataOnly="0" outline="0" fieldPosition="0"/>
    </format>
    <format dxfId="771">
      <pivotArea outline="0" collapsedLevelsAreSubtotals="1" fieldPosition="0"/>
    </format>
    <format dxfId="770">
      <pivotArea field="7" type="button" dataOnly="0" labelOnly="1" outline="0" axis="axisPage" fieldPosition="0"/>
    </format>
    <format dxfId="769">
      <pivotArea dataOnly="0" labelOnly="1" outline="0" axis="axisValues" fieldPosition="0"/>
    </format>
    <format dxfId="768">
      <pivotArea dataOnly="0" labelOnly="1" grandRow="1" outline="0" fieldPosition="0"/>
    </format>
    <format dxfId="767">
      <pivotArea dataOnly="0" labelOnly="1" outline="0" axis="axisValues" fieldPosition="0"/>
    </format>
    <format dxfId="766">
      <pivotArea type="all" dataOnly="0" outline="0" fieldPosition="0"/>
    </format>
    <format dxfId="765">
      <pivotArea outline="0" collapsedLevelsAreSubtotals="1" fieldPosition="0"/>
    </format>
    <format dxfId="764">
      <pivotArea field="7" type="button" dataOnly="0" labelOnly="1" outline="0" axis="axisPage" fieldPosition="0"/>
    </format>
    <format dxfId="763">
      <pivotArea dataOnly="0" labelOnly="1" outline="0" axis="axisValues" fieldPosition="0"/>
    </format>
    <format dxfId="762">
      <pivotArea dataOnly="0" labelOnly="1" grandRow="1" outline="0" fieldPosition="0"/>
    </format>
    <format dxfId="761">
      <pivotArea dataOnly="0" labelOnly="1" outline="0" axis="axisValues" fieldPosition="0"/>
    </format>
    <format dxfId="760">
      <pivotArea type="all" dataOnly="0" outline="0" fieldPosition="0"/>
    </format>
    <format dxfId="759">
      <pivotArea outline="0" collapsedLevelsAreSubtotals="1" fieldPosition="0"/>
    </format>
    <format dxfId="758">
      <pivotArea field="7" type="button" dataOnly="0" labelOnly="1" outline="0" axis="axisPage" fieldPosition="0"/>
    </format>
    <format dxfId="757">
      <pivotArea dataOnly="0" labelOnly="1" outline="0" axis="axisValues" fieldPosition="0"/>
    </format>
    <format dxfId="756">
      <pivotArea dataOnly="0" labelOnly="1" grandRow="1" outline="0" fieldPosition="0"/>
    </format>
    <format dxfId="755">
      <pivotArea dataOnly="0" labelOnly="1" outline="0" axis="axisValues" fieldPosition="0"/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7" type="button" dataOnly="0" labelOnly="1" outline="0" axis="axisPage" fieldPosition="0"/>
    </format>
    <format dxfId="751">
      <pivotArea dataOnly="0" labelOnly="1" outline="0" axis="axisValues" fieldPosition="0"/>
    </format>
    <format dxfId="750">
      <pivotArea dataOnly="0" labelOnly="1" grandRow="1" outline="0" fieldPosition="0"/>
    </format>
    <format dxfId="749">
      <pivotArea dataOnly="0" labelOnly="1" outline="0" axis="axisValues" fieldPosition="0"/>
    </format>
    <format dxfId="748">
      <pivotArea outline="0" collapsedLevelsAreSubtotals="1" fieldPosition="0"/>
    </format>
    <format dxfId="7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831">
      <pivotArea type="all" dataOnly="0" outline="0" fieldPosition="0"/>
    </format>
    <format dxfId="830">
      <pivotArea field="7" type="button" dataOnly="0" labelOnly="1" outline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type="origin" dataOnly="0" labelOnly="1" outline="0" fieldPosition="0"/>
    </format>
    <format dxfId="791">
      <pivotArea field="7" type="button" dataOnly="0" labelOnly="1" outline="0"/>
    </format>
    <format dxfId="790">
      <pivotArea field="-2" type="button" dataOnly="0" labelOnly="1" outline="0" axis="axisCol" fieldPosition="0"/>
    </format>
    <format dxfId="789">
      <pivotArea type="topRight" dataOnly="0" labelOnly="1" outline="0" fieldPosition="0"/>
    </format>
    <format dxfId="788">
      <pivotArea field="16" type="button" dataOnly="0" labelOnly="1" outline="0"/>
    </format>
    <format dxfId="787">
      <pivotArea dataOnly="0" labelOnly="1" grandRow="1" outline="0" fieldPosition="0"/>
    </format>
    <format dxfId="78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8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49">
      <pivotArea outline="0" collapsedLevelsAreSubtotals="1" fieldPosition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0" type="button" dataOnly="0" labelOnly="1" outline="0" axis="axisRow" fieldPosition="0"/>
    </format>
    <format dxfId="545">
      <pivotArea dataOnly="0" labelOnly="1" outline="0" axis="axisValues" fieldPosition="0"/>
    </format>
    <format dxfId="544">
      <pivotArea dataOnly="0" labelOnly="1" fieldPosition="0">
        <references count="1">
          <reference field="0" count="0"/>
        </references>
      </pivotArea>
    </format>
    <format dxfId="543">
      <pivotArea dataOnly="0" labelOnly="1" grandRow="1" outline="0" fieldPosition="0"/>
    </format>
    <format dxfId="542">
      <pivotArea dataOnly="0" labelOnly="1" fieldPosition="0">
        <references count="2">
          <reference field="0" count="0" selected="0"/>
          <reference field="2" count="0"/>
        </references>
      </pivotArea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0" type="button" dataOnly="0" labelOnly="1" outline="0" axis="axisRow" fieldPosition="0"/>
    </format>
    <format dxfId="537">
      <pivotArea dataOnly="0" labelOnly="1" outline="0" axis="axisValues" fieldPosition="0"/>
    </format>
    <format dxfId="536">
      <pivotArea dataOnly="0" labelOnly="1" fieldPosition="0">
        <references count="1">
          <reference field="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2">
          <reference field="0" count="0" selected="0"/>
          <reference field="2" count="0"/>
        </references>
      </pivotArea>
    </format>
    <format dxfId="53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78">
      <pivotArea outline="0" collapsedLevelsAreSubtotals="1" fieldPosition="0"/>
    </format>
    <format dxfId="577">
      <pivotArea type="all" dataOnly="0" outline="0" fieldPosition="0"/>
    </format>
    <format dxfId="576">
      <pivotArea outline="0" collapsedLevelsAreSubtotals="1" fieldPosition="0"/>
    </format>
    <format dxfId="575">
      <pivotArea field="1" type="button" dataOnly="0" labelOnly="1" outline="0" axis="axisRow" fieldPosition="0"/>
    </format>
    <format dxfId="574">
      <pivotArea dataOnly="0" labelOnly="1" outline="0" axis="axisValues" fieldPosition="0"/>
    </format>
    <format dxfId="573">
      <pivotArea dataOnly="0" labelOnly="1" fieldPosition="0">
        <references count="1">
          <reference field="1" count="0"/>
        </references>
      </pivotArea>
    </format>
    <format dxfId="572">
      <pivotArea dataOnly="0" labelOnly="1" grandRow="1" outline="0" fieldPosition="0"/>
    </format>
    <format dxfId="571">
      <pivotArea dataOnly="0" labelOnly="1" outline="0" axis="axisValues" fieldPosition="0"/>
    </format>
    <format dxfId="570">
      <pivotArea type="all" dataOnly="0" outline="0" fieldPosition="0"/>
    </format>
    <format dxfId="569">
      <pivotArea outline="0" collapsedLevelsAreSubtotals="1" fieldPosition="0"/>
    </format>
    <format dxfId="568">
      <pivotArea field="1" type="button" dataOnly="0" labelOnly="1" outline="0" axis="axisRow" fieldPosition="0"/>
    </format>
    <format dxfId="567">
      <pivotArea dataOnly="0" labelOnly="1" outline="0" axis="axisValues" fieldPosition="0"/>
    </format>
    <format dxfId="566">
      <pivotArea dataOnly="0" labelOnly="1" fieldPosition="0">
        <references count="1">
          <reference field="1" count="0"/>
        </references>
      </pivotArea>
    </format>
    <format dxfId="565">
      <pivotArea dataOnly="0" labelOnly="1" grandRow="1" outline="0" fieldPosition="0"/>
    </format>
    <format dxfId="564">
      <pivotArea dataOnly="0" labelOnly="1" outline="0" axis="axisValues" fieldPosition="0"/>
    </format>
    <format dxfId="563">
      <pivotArea type="all" dataOnly="0" outline="0" fieldPosition="0"/>
    </format>
    <format dxfId="562">
      <pivotArea outline="0" collapsedLevelsAreSubtotals="1" fieldPosition="0"/>
    </format>
    <format dxfId="561">
      <pivotArea field="1" type="button" dataOnly="0" labelOnly="1" outline="0" axis="axisRow" fieldPosition="0"/>
    </format>
    <format dxfId="560">
      <pivotArea dataOnly="0" labelOnly="1" outline="0" axis="axisValues" fieldPosition="0"/>
    </format>
    <format dxfId="559">
      <pivotArea dataOnly="0" labelOnly="1" fieldPosition="0">
        <references count="1">
          <reference field="1" count="0"/>
        </references>
      </pivotArea>
    </format>
    <format dxfId="558">
      <pivotArea dataOnly="0" labelOnly="1" grandRow="1" outline="0" fieldPosition="0"/>
    </format>
    <format dxfId="557">
      <pivotArea dataOnly="0" labelOnly="1" outline="0" axis="axisValues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03">
      <pivotArea outline="0" collapsedLevelsAreSubtotals="1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dataOnly="0" labelOnly="1" outline="0" axis="axisValues" fieldPosition="0"/>
    </format>
    <format dxfId="599">
      <pivotArea dataOnly="0" labelOnly="1" grandRow="1" outline="0" fieldPosition="0"/>
    </format>
    <format dxfId="598">
      <pivotArea dataOnly="0" labelOnly="1" outline="0" axis="axisValues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dataOnly="0" labelOnly="1" outline="0" axis="axisValues" fieldPosition="0"/>
    </format>
    <format dxfId="594">
      <pivotArea dataOnly="0" labelOnly="1" grandRow="1" outline="0" fieldPosition="0"/>
    </format>
    <format dxfId="593">
      <pivotArea dataOnly="0" labelOnly="1" outline="0" axis="axisValues" fieldPosition="0"/>
    </format>
    <format dxfId="592">
      <pivotArea type="all" dataOnly="0" outline="0" fieldPosition="0"/>
    </format>
    <format dxfId="591">
      <pivotArea outline="0" collapsedLevelsAreSubtotals="1" fieldPosition="0"/>
    </format>
    <format dxfId="590">
      <pivotArea field="1" type="button" dataOnly="0" labelOnly="1" outline="0" axis="axisRow" fieldPosition="0"/>
    </format>
    <format dxfId="589">
      <pivotArea dataOnly="0" labelOnly="1" outline="0" axis="axisValues" fieldPosition="0"/>
    </format>
    <format dxfId="588">
      <pivotArea dataOnly="0" labelOnly="1" fieldPosition="0">
        <references count="1">
          <reference field="1" count="0"/>
        </references>
      </pivotArea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37">
      <pivotArea outline="0" collapsedLevelsAreSubtotals="1" fieldPosition="0"/>
    </format>
    <format dxfId="636">
      <pivotArea type="all" dataOnly="0" outline="0" fieldPosition="0"/>
    </format>
    <format dxfId="635">
      <pivotArea outline="0" collapsedLevelsAreSubtotals="1" fieldPosition="0"/>
    </format>
    <format dxfId="634">
      <pivotArea dataOnly="0" labelOnly="1" outline="0" axis="axisValues" fieldPosition="0"/>
    </format>
    <format dxfId="633">
      <pivotArea dataOnly="0" labelOnly="1" grandRow="1" outline="0" fieldPosition="0"/>
    </format>
    <format dxfId="632">
      <pivotArea dataOnly="0" labelOnly="1" outline="0" axis="axisValues" fieldPosition="0"/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dataOnly="0" labelOnly="1" outline="0" axis="axisValues" fieldPosition="0"/>
    </format>
    <format dxfId="628">
      <pivotArea dataOnly="0" labelOnly="1" grandRow="1" outline="0" fieldPosition="0"/>
    </format>
    <format dxfId="627">
      <pivotArea dataOnly="0" labelOnly="1" outline="0" axis="axisValues" fieldPosition="0"/>
    </format>
    <format dxfId="626">
      <pivotArea outline="0" collapsedLevelsAreSubtotals="1" fieldPosition="0"/>
    </format>
    <format dxfId="625">
      <pivotArea outline="0" collapsedLevelsAreSubtotals="1" fieldPosition="0"/>
    </format>
    <format dxfId="624">
      <pivotArea outline="0" collapsedLevelsAreSubtotals="1" fieldPosition="0"/>
    </format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field="0" type="button" dataOnly="0" labelOnly="1" outline="0" axis="axisRow" fieldPosition="0"/>
    </format>
    <format dxfId="61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7">
      <pivotArea dataOnly="0" labelOnly="1" grandRow="1" outline="0" fieldPosition="0"/>
    </format>
    <format dxfId="61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08">
      <pivotArea dataOnly="0" labelOnly="1" grandRow="1" outline="0" fieldPosition="0"/>
    </format>
    <format dxfId="60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0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0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52">
      <pivotArea outline="0" collapsedLevelsAreSubtotals="1" fieldPosition="0"/>
    </format>
    <format dxfId="651">
      <pivotArea type="all" dataOnly="0" outline="0" fieldPosition="0"/>
    </format>
    <format dxfId="650">
      <pivotArea outline="0" collapsedLevelsAreSubtotals="1" fieldPosition="0"/>
    </format>
    <format dxfId="649">
      <pivotArea field="0" type="button" dataOnly="0" labelOnly="1" outline="0" axis="axisRow" fieldPosition="0"/>
    </format>
    <format dxfId="648">
      <pivotArea dataOnly="0" labelOnly="1" outline="0" axis="axisValues" fieldPosition="0"/>
    </format>
    <format dxfId="647">
      <pivotArea dataOnly="0" labelOnly="1" fieldPosition="0">
        <references count="1">
          <reference field="0" count="0"/>
        </references>
      </pivotArea>
    </format>
    <format dxfId="646">
      <pivotArea dataOnly="0" labelOnly="1" grandRow="1" outline="0" fieldPosition="0"/>
    </format>
    <format dxfId="645">
      <pivotArea dataOnly="0" labelOnly="1" outline="0" axis="axisValues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dataOnly="0" labelOnly="1" outline="0" axis="axisValues" fieldPosition="0"/>
    </format>
    <format dxfId="640">
      <pivotArea dataOnly="0" labelOnly="1" fieldPosition="0">
        <references count="1">
          <reference field="0" count="0"/>
        </references>
      </pivotArea>
    </format>
    <format dxfId="639">
      <pivotArea dataOnly="0" labelOnly="1" grandRow="1" outline="0" fieldPosition="0"/>
    </format>
    <format dxfId="63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type="all" dataOnly="0" outline="0" fieldPosition="0"/>
    </format>
    <format dxfId="670">
      <pivotArea outline="0" collapsedLevelsAreSubtotals="1" fieldPosition="0"/>
    </format>
    <format dxfId="669">
      <pivotArea dataOnly="0" labelOnly="1" outline="0" axis="axisValues" fieldPosition="0"/>
    </format>
    <format dxfId="668">
      <pivotArea dataOnly="0" labelOnly="1" grandRow="1" outline="0" fieldPosition="0"/>
    </format>
    <format dxfId="667">
      <pivotArea dataOnly="0" labelOnly="1" outline="0" axis="axisValues" fieldPosition="0"/>
    </format>
    <format dxfId="666">
      <pivotArea type="all" dataOnly="0" outline="0" fieldPosition="0"/>
    </format>
    <format dxfId="665">
      <pivotArea outline="0" collapsedLevelsAreSubtotals="1" fieldPosition="0"/>
    </format>
    <format dxfId="664">
      <pivotArea field="1" type="button" dataOnly="0" labelOnly="1" outline="0" axis="axisRow" fieldPosition="0"/>
    </format>
    <format dxfId="663">
      <pivotArea dataOnly="0" labelOnly="1" outline="0" axis="axisValues" fieldPosition="0"/>
    </format>
    <format dxfId="662">
      <pivotArea dataOnly="0" labelOnly="1" fieldPosition="0">
        <references count="1">
          <reference field="1" count="0"/>
        </references>
      </pivotArea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1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1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4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7" type="button" dataOnly="0" labelOnly="1" outline="0" axis="axisRow" fieldPosition="0"/>
    </format>
    <format dxfId="303">
      <pivotArea dataOnly="0" labelOnly="1" fieldPosition="0">
        <references count="1">
          <reference field="7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7" type="button" dataOnly="0" labelOnly="1" outline="0" axis="axisRow" fieldPosition="0"/>
    </format>
    <format dxfId="297">
      <pivotArea dataOnly="0" labelOnly="1" fieldPosition="0">
        <references count="1">
          <reference field="7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3" type="button" dataOnly="0" labelOnly="1" outline="0" axis="axisRow" fieldPosition="1"/>
    </format>
    <format dxfId="361">
      <pivotArea dataOnly="0" labelOnly="1" outline="0" axis="axisValues" fieldPosition="0"/>
    </format>
    <format dxfId="360">
      <pivotArea dataOnly="0" labelOnly="1" grandRow="1" outline="0" fieldPosition="0"/>
    </format>
    <format dxfId="359">
      <pivotArea dataOnly="0" labelOnly="1" outline="0" axis="axisValues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field="3" type="button" dataOnly="0" labelOnly="1" outline="0" axis="axisRow" fieldPosition="1"/>
    </format>
    <format dxfId="355">
      <pivotArea dataOnly="0" labelOnly="1" outline="0" axis="axisValues" fieldPosition="0"/>
    </format>
    <format dxfId="354">
      <pivotArea dataOnly="0" labelOnly="1" grandRow="1" outline="0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  <format dxfId="351">
      <pivotArea type="all" dataOnly="0" outline="0" fieldPosition="0"/>
    </format>
    <format dxfId="350">
      <pivotArea outline="0" collapsedLevelsAreSubtotals="1" fieldPosition="0"/>
    </format>
    <format dxfId="349">
      <pivotArea field="3" type="button" dataOnly="0" labelOnly="1" outline="0" axis="axisRow" fieldPosition="1"/>
    </format>
    <format dxfId="348">
      <pivotArea dataOnly="0" labelOnly="1" outline="0" axis="axisValues" fieldPosition="0"/>
    </format>
    <format dxfId="347">
      <pivotArea dataOnly="0" labelOnly="1" grandRow="1" outline="0" fieldPosition="0"/>
    </format>
    <format dxfId="346">
      <pivotArea dataOnly="0" labelOnly="1" outline="0" axis="axisValues" fieldPosition="0"/>
    </format>
    <format dxfId="345">
      <pivotArea type="all" dataOnly="0" outline="0" fieldPosition="0"/>
    </format>
    <format dxfId="344">
      <pivotArea outline="0" collapsedLevelsAreSubtotals="1" fieldPosition="0"/>
    </format>
    <format dxfId="343">
      <pivotArea field="7" type="button" dataOnly="0" labelOnly="1" outline="0" axis="axisRow" fieldPosition="0"/>
    </format>
    <format dxfId="342">
      <pivotArea dataOnly="0" labelOnly="1" outline="0" axis="axisValues" fieldPosition="0"/>
    </format>
    <format dxfId="341">
      <pivotArea dataOnly="0" labelOnly="1" fieldPosition="0">
        <references count="1">
          <reference field="7" count="0"/>
        </references>
      </pivotArea>
    </format>
    <format dxfId="340">
      <pivotArea dataOnly="0" labelOnly="1" grandRow="1" outline="0" fieldPosition="0"/>
    </format>
    <format dxfId="33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3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37">
      <pivotArea dataOnly="0" labelOnly="1" outline="0" axis="axisValues" fieldPosition="0"/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7" type="button" dataOnly="0" labelOnly="1" outline="0" axis="axisRow" fieldPosition="0"/>
    </format>
    <format dxfId="333">
      <pivotArea dataOnly="0" labelOnly="1" outline="0" axis="axisValues" fieldPosition="0"/>
    </format>
    <format dxfId="332">
      <pivotArea dataOnly="0" labelOnly="1" fieldPosition="0">
        <references count="1">
          <reference field="7" count="0"/>
        </references>
      </pivotArea>
    </format>
    <format dxfId="331">
      <pivotArea dataOnly="0" labelOnly="1" grandRow="1" outline="0" fieldPosition="0"/>
    </format>
    <format dxfId="330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29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2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9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3" type="button" dataOnly="0" labelOnly="1" outline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3" type="button" dataOnly="0" labelOnly="1" outline="0"/>
    </format>
    <format dxfId="388">
      <pivotArea dataOnly="0" labelOnly="1" outline="0" axis="axisValues" fieldPosition="0"/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3" type="button" dataOnly="0" labelOnly="1" outline="0"/>
    </format>
    <format dxfId="381">
      <pivotArea dataOnly="0" labelOnly="1" outline="0" axis="axisValues" fieldPosition="0"/>
    </format>
    <format dxfId="380">
      <pivotArea dataOnly="0" labelOnly="1" grandRow="1" outline="0" fieldPosition="0"/>
    </format>
    <format dxfId="379">
      <pivotArea dataOnly="0" labelOnly="1" outline="0" axis="axisValues" fieldPosition="0"/>
    </format>
    <format dxfId="3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7" type="button" dataOnly="0" labelOnly="1" outline="0" axis="axisPage" fieldPosition="0"/>
    </format>
    <format dxfId="373">
      <pivotArea dataOnly="0" labelOnly="1" fieldPosition="0">
        <references count="1">
          <reference field="7" count="0"/>
        </references>
      </pivotArea>
    </format>
    <format dxfId="372">
      <pivotArea dataOnly="0" labelOnly="1" grandRow="1" outline="0" fieldPosition="0"/>
    </format>
    <format dxfId="3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7" type="button" dataOnly="0" labelOnly="1" outline="0" axis="axisPage" fieldPosition="0"/>
    </format>
    <format dxfId="367">
      <pivotArea dataOnly="0" labelOnly="1" fieldPosition="0">
        <references count="1">
          <reference field="7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7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3" type="button" dataOnly="0" labelOnly="1" outline="0"/>
    </format>
    <format dxfId="427">
      <pivotArea dataOnly="0" labelOnly="1" outline="0" axis="axisValues" fieldPosition="0"/>
    </format>
    <format dxfId="426">
      <pivotArea dataOnly="0" labelOnly="1" grandRow="1" outline="0" fieldPosition="0"/>
    </format>
    <format dxfId="425">
      <pivotArea dataOnly="0" labelOnly="1" outline="0" axis="axisValues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3" type="button" dataOnly="0" labelOnly="1" outline="0"/>
    </format>
    <format dxfId="421">
      <pivotArea dataOnly="0" labelOnly="1" outline="0" axis="axisValues" fieldPosition="0"/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3" type="button" dataOnly="0" labelOnly="1" outline="0"/>
    </format>
    <format dxfId="414">
      <pivotArea dataOnly="0" labelOnly="1" outline="0" axis="axisValues" fieldPosition="0"/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9">
      <pivotArea type="all" dataOnly="0" outline="0" fieldPosition="0"/>
    </format>
    <format dxfId="408">
      <pivotArea outline="0" collapsedLevelsAreSubtotals="1" fieldPosition="0"/>
    </format>
    <format dxfId="407">
      <pivotArea field="6" type="button" dataOnly="0" labelOnly="1" outline="0" axis="axisRow" fieldPosition="0"/>
    </format>
    <format dxfId="406">
      <pivotArea dataOnly="0" labelOnly="1" fieldPosition="0">
        <references count="1">
          <reference field="6" count="0"/>
        </references>
      </pivotArea>
    </format>
    <format dxfId="405">
      <pivotArea dataOnly="0" labelOnly="1" grandRow="1" outline="0" fieldPosition="0"/>
    </format>
    <format dxfId="4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6" type="button" dataOnly="0" labelOnly="1" outline="0" axis="axisRow" fieldPosition="0"/>
    </format>
    <format dxfId="400">
      <pivotArea dataOnly="0" labelOnly="1" fieldPosition="0">
        <references count="1">
          <reference field="6" count="0"/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10" type="button" dataOnly="0" labelOnly="1" outline="0" axis="axisRow" fieldPosition="0"/>
    </format>
    <format dxfId="439">
      <pivotArea dataOnly="0" labelOnly="1" fieldPosition="0">
        <references count="1">
          <reference field="10" count="0"/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field="10" type="button" dataOnly="0" labelOnly="1" outline="0" axis="axisRow" fieldPosition="0"/>
    </format>
    <format dxfId="433">
      <pivotArea dataOnly="0" labelOnly="1" fieldPosition="0">
        <references count="1">
          <reference field="10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9" type="button" dataOnly="0" labelOnly="1" outline="0" axis="axisRow" fieldPosition="0"/>
    </format>
    <format dxfId="472">
      <pivotArea dataOnly="0" labelOnly="1" fieldPosition="0">
        <references count="1">
          <reference field="9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9" type="button" dataOnly="0" labelOnly="1" outline="0" axis="axisRow" fieldPosition="0"/>
    </format>
    <format dxfId="466">
      <pivotArea dataOnly="0" labelOnly="1" fieldPosition="0">
        <references count="1">
          <reference field="9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195">
      <pivotArea outline="0" collapsedLevelsAreSubtotals="1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axis="axisValues" fieldPosition="0"/>
    </format>
    <format dxfId="19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1" type="button" dataOnly="0" labelOnly="1" outline="0" axis="axisRow" fieldPosition="0"/>
    </format>
    <format dxfId="184">
      <pivotArea dataOnly="0" labelOnly="1" outline="0" axis="axisValues" fieldPosition="0"/>
    </format>
    <format dxfId="18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1" type="button" dataOnly="0" labelOnly="1" outline="0" axis="axisRow" fieldPosition="0"/>
    </format>
    <format dxfId="177">
      <pivotArea dataOnly="0" labelOnly="1" outline="0" axis="axisValues" fieldPosition="0"/>
    </format>
    <format dxfId="17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75">
      <pivotArea dataOnly="0" labelOnly="1" grandRow="1" outline="0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1" type="button" dataOnly="0" labelOnly="1" outline="0" axis="axisRow" fieldPosition="0"/>
    </format>
    <format dxfId="170">
      <pivotArea dataOnly="0" labelOnly="1" outline="0" axis="axisValues" fieldPosition="0"/>
    </format>
    <format dxfId="16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37">
      <pivotArea outline="0" collapsedLevelsAreSubtotals="1" fieldPosition="0"/>
    </format>
    <format dxfId="236">
      <pivotArea outline="0" collapsedLevelsAreSubtotals="1" fieldPosition="0"/>
    </format>
    <format dxfId="2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" type="button" dataOnly="0" labelOnly="1" outline="0" axis="axisRow" fieldPosition="0"/>
    </format>
    <format dxfId="22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7">
      <pivotArea dataOnly="0" labelOnly="1" grandRow="1" outline="0" fieldPosition="0"/>
    </format>
    <format dxfId="2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field="1" type="button" dataOnly="0" labelOnly="1" outline="0" axis="axisRow" fieldPosition="0"/>
    </format>
    <format dxfId="22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1">
      <pivotArea dataOnly="0" labelOnly="1" grandRow="1" outline="0" fieldPosition="0"/>
    </format>
    <format dxfId="2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1" type="button" dataOnly="0" labelOnly="1" outline="0" axis="axisRow" fieldPosition="0"/>
    </format>
    <format dxfId="21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1" type="button" dataOnly="0" labelOnly="1" outline="0" axis="axisRow" fieldPosition="0"/>
    </format>
    <format dxfId="19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7">
      <pivotArea dataOnly="0" labelOnly="1" grandRow="1" outline="0" fieldPosition="0"/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77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84" totalsRowShown="0" headerRowDxfId="517" dataDxfId="516">
  <autoFilter ref="B2:T3984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18:02:31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78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 x14ac:dyDescent="0.25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 x14ac:dyDescent="0.25">
      <c r="B2" s="1389" t="s">
        <v>3</v>
      </c>
      <c r="C2" s="1390" t="s">
        <v>1646</v>
      </c>
    </row>
    <row r="4" spans="2:12" ht="13.2" x14ac:dyDescent="0.25">
      <c r="B4" s="1389" t="s">
        <v>266</v>
      </c>
      <c r="C4" s="1390" t="s">
        <v>3972</v>
      </c>
      <c r="D4" s="1390" t="s">
        <v>1738</v>
      </c>
      <c r="E4" s="1390" t="s">
        <v>385</v>
      </c>
      <c r="F4" s="1390" t="s">
        <v>839</v>
      </c>
      <c r="G4" s="1390" t="s">
        <v>1783</v>
      </c>
      <c r="H4" s="1390" t="s">
        <v>1784</v>
      </c>
      <c r="I4" s="1390" t="s">
        <v>1788</v>
      </c>
      <c r="J4" s="388" t="s">
        <v>1785</v>
      </c>
      <c r="K4" s="388" t="s">
        <v>1786</v>
      </c>
      <c r="L4" s="388" t="s">
        <v>1787</v>
      </c>
    </row>
    <row r="5" spans="2:12" ht="13.2" x14ac:dyDescent="0.25">
      <c r="B5" s="1394" t="s">
        <v>2274</v>
      </c>
      <c r="C5" s="1381">
        <v>54</v>
      </c>
      <c r="D5" s="1380">
        <v>2.4865968586387588</v>
      </c>
      <c r="E5" s="1380">
        <v>-9.9535000000000053</v>
      </c>
      <c r="F5" s="1380">
        <v>1.5694000000000004</v>
      </c>
      <c r="G5" s="1380">
        <v>1.5274074074074075</v>
      </c>
      <c r="H5" s="1393">
        <v>-1.2458070491639137E-2</v>
      </c>
      <c r="I5" s="1393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 x14ac:dyDescent="0.25">
      <c r="B6" s="1394" t="s">
        <v>2534</v>
      </c>
      <c r="C6" s="1381">
        <v>9</v>
      </c>
      <c r="D6" s="1380">
        <v>-1.0581675392670151</v>
      </c>
      <c r="E6" s="1380">
        <v>-1.3705499999999997</v>
      </c>
      <c r="F6" s="1380">
        <v>-0.68527499999999986</v>
      </c>
      <c r="G6" s="1380">
        <v>1.73</v>
      </c>
      <c r="H6" s="1393">
        <v>-7.6141666666666649E-2</v>
      </c>
      <c r="I6" s="1393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 x14ac:dyDescent="0.25">
      <c r="B7" s="1394" t="s">
        <v>1737</v>
      </c>
      <c r="C7" s="1381">
        <v>23</v>
      </c>
      <c r="D7" s="1380">
        <v>-9.7172774869109926</v>
      </c>
      <c r="E7" s="1380">
        <v>-10.54</v>
      </c>
      <c r="F7" s="1380">
        <v>-5.2302083333333318</v>
      </c>
      <c r="G7" s="1380">
        <v>2.09</v>
      </c>
      <c r="H7" s="1393">
        <v>-0.22952961672473865</v>
      </c>
      <c r="I7" s="1393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 x14ac:dyDescent="0.25">
      <c r="B8" s="1394" t="s">
        <v>1735</v>
      </c>
      <c r="C8" s="1381">
        <v>33</v>
      </c>
      <c r="D8" s="1380">
        <v>-10.555287958115183</v>
      </c>
      <c r="E8" s="1380">
        <v>-11.790300000000002</v>
      </c>
      <c r="F8" s="1380">
        <v>-5.883129797979799</v>
      </c>
      <c r="G8" s="1380">
        <v>1.9912121212121214</v>
      </c>
      <c r="H8" s="1393">
        <v>-0.17869505910882091</v>
      </c>
      <c r="I8" s="1393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 x14ac:dyDescent="0.25">
      <c r="B9" s="1394" t="s">
        <v>2851</v>
      </c>
      <c r="C9" s="1381">
        <v>63</v>
      </c>
      <c r="D9" s="1380">
        <v>-9.0452879581151748</v>
      </c>
      <c r="E9" s="1380">
        <v>-14.173250000000003</v>
      </c>
      <c r="F9" s="1380">
        <v>-2.7326499999999996</v>
      </c>
      <c r="G9" s="1380">
        <v>1.7058730158730162</v>
      </c>
      <c r="H9" s="1393">
        <v>-5.0259751773049657E-2</v>
      </c>
      <c r="I9" s="1393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 x14ac:dyDescent="0.25">
      <c r="B10" s="1394" t="s">
        <v>2334</v>
      </c>
      <c r="C10" s="1381">
        <v>26</v>
      </c>
      <c r="D10" s="1380">
        <v>0.26884816753926533</v>
      </c>
      <c r="E10" s="1380">
        <v>-0.28324999999999978</v>
      </c>
      <c r="F10" s="1380">
        <v>0.32267499999999982</v>
      </c>
      <c r="G10" s="1380">
        <v>1.1015384615384614</v>
      </c>
      <c r="H10" s="1393">
        <v>-1.9670138888888875E-3</v>
      </c>
      <c r="I10" s="1393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 x14ac:dyDescent="0.25">
      <c r="B11" s="1394" t="s">
        <v>1645</v>
      </c>
      <c r="C11" s="1381">
        <v>35</v>
      </c>
      <c r="D11" s="1380">
        <v>-3.0106282722513051</v>
      </c>
      <c r="E11" s="1380">
        <v>-6.129999999999999</v>
      </c>
      <c r="F11" s="1380">
        <v>0.12400000000000055</v>
      </c>
      <c r="G11" s="1380">
        <v>2.2642857142857133</v>
      </c>
      <c r="H11" s="1393">
        <v>-3.7378048780487796E-2</v>
      </c>
      <c r="I11" s="1393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 x14ac:dyDescent="0.25">
      <c r="B12" s="1394" t="s">
        <v>2335</v>
      </c>
      <c r="C12" s="1381">
        <v>17</v>
      </c>
      <c r="D12" s="1380">
        <v>-7.9133992987175166</v>
      </c>
      <c r="E12" s="1380">
        <v>-8.34</v>
      </c>
      <c r="F12" s="1380">
        <v>-4.2650000000000006</v>
      </c>
      <c r="G12" s="1380">
        <v>4.6647058823529415</v>
      </c>
      <c r="H12" s="1393">
        <v>-0.24667258207630877</v>
      </c>
      <c r="I12" s="1393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 x14ac:dyDescent="0.25">
      <c r="B13" s="1394" t="s">
        <v>1542</v>
      </c>
      <c r="C13" s="1381">
        <v>224</v>
      </c>
      <c r="D13" s="1380">
        <v>-10.514816753926654</v>
      </c>
      <c r="E13" s="1380">
        <v>-41.210000000000129</v>
      </c>
      <c r="F13" s="1380">
        <v>7.8835781777518692</v>
      </c>
      <c r="G13" s="1380">
        <v>9.2225892857142835</v>
      </c>
      <c r="H13" s="1393">
        <v>-2.355153219261857E-2</v>
      </c>
      <c r="I13" s="1393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 x14ac:dyDescent="0.25">
      <c r="B14" s="1394" t="s">
        <v>2917</v>
      </c>
      <c r="C14" s="1381">
        <v>19</v>
      </c>
      <c r="D14" s="1380">
        <v>-164.9350261780105</v>
      </c>
      <c r="E14" s="1380">
        <v>-168.81739999999999</v>
      </c>
      <c r="F14" s="1380">
        <v>-3.3479177745386086</v>
      </c>
      <c r="G14" s="1380">
        <v>9.189473684210526</v>
      </c>
      <c r="H14" s="1393">
        <v>-0.17757915553405001</v>
      </c>
      <c r="I14" s="1393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 x14ac:dyDescent="0.25">
      <c r="B15" s="1394" t="s">
        <v>2916</v>
      </c>
      <c r="C15" s="1381">
        <v>39</v>
      </c>
      <c r="D15" s="1380">
        <v>107.58026178010473</v>
      </c>
      <c r="E15" s="1380">
        <v>97.259050000000002</v>
      </c>
      <c r="F15" s="1380">
        <v>2.092878968033681</v>
      </c>
      <c r="G15" s="1380">
        <v>10.082051282051282</v>
      </c>
      <c r="H15" s="1393">
        <v>4.6028892569805975E-2</v>
      </c>
      <c r="I15" s="1393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 x14ac:dyDescent="0.25">
      <c r="B16" s="1394" t="s">
        <v>2918</v>
      </c>
      <c r="C16" s="1381">
        <v>13</v>
      </c>
      <c r="D16" s="1380">
        <v>-5.7905759162303658</v>
      </c>
      <c r="E16" s="1380">
        <v>-5.9799999999999995</v>
      </c>
      <c r="F16" s="1380">
        <v>-1.0309999999999997</v>
      </c>
      <c r="G16" s="1380">
        <v>1.2461538461538462</v>
      </c>
      <c r="H16" s="1393">
        <v>-0.10678571428571428</v>
      </c>
      <c r="I16" s="1393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 x14ac:dyDescent="0.25">
      <c r="B17" s="1394" t="s">
        <v>1697</v>
      </c>
      <c r="C17" s="1381">
        <v>44</v>
      </c>
      <c r="D17" s="1380">
        <v>5.3654973821989405</v>
      </c>
      <c r="E17" s="1380">
        <v>-1.3172500000000005</v>
      </c>
      <c r="F17" s="1380">
        <v>-8.2642525034007125E-2</v>
      </c>
      <c r="G17" s="1380">
        <v>11.34909090909091</v>
      </c>
      <c r="H17" s="1393">
        <v>-7.7117850242960028E-4</v>
      </c>
      <c r="I17" s="1393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 x14ac:dyDescent="0.25">
      <c r="B18" s="1394" t="s">
        <v>1695</v>
      </c>
      <c r="C18" s="1381">
        <v>133</v>
      </c>
      <c r="D18" s="1380">
        <v>-119.1501047120418</v>
      </c>
      <c r="E18" s="1380">
        <v>-136.55609999999996</v>
      </c>
      <c r="F18" s="1380">
        <v>0.39007825383179201</v>
      </c>
      <c r="G18" s="1380">
        <v>21.408646616541354</v>
      </c>
      <c r="H18" s="1393">
        <v>-1.7356700810790545E-2</v>
      </c>
      <c r="I18" s="1393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 x14ac:dyDescent="0.25">
      <c r="B19" s="1394" t="s">
        <v>1698</v>
      </c>
      <c r="C19" s="1381">
        <v>14</v>
      </c>
      <c r="D19" s="1380">
        <v>-6.4263350785340281</v>
      </c>
      <c r="E19" s="1380">
        <v>-6.8395999999999972</v>
      </c>
      <c r="F19" s="1380">
        <v>0.11180093288071344</v>
      </c>
      <c r="G19" s="1380">
        <v>3.5642857142857136</v>
      </c>
      <c r="H19" s="1393">
        <v>-3.246594199458868E-2</v>
      </c>
      <c r="I19" s="1393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 x14ac:dyDescent="0.25">
      <c r="B20" s="1394" t="s">
        <v>2204</v>
      </c>
      <c r="C20" s="1381">
        <v>10</v>
      </c>
      <c r="D20" s="1380">
        <v>-7.1578534031413605</v>
      </c>
      <c r="E20" s="1380">
        <v>-7.3599999999999994</v>
      </c>
      <c r="F20" s="1380">
        <v>-0.73599999999999977</v>
      </c>
      <c r="G20" s="1380">
        <v>1.8679999999999999</v>
      </c>
      <c r="H20" s="1393">
        <v>-7.3599999999999999E-2</v>
      </c>
      <c r="I20" s="1393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 x14ac:dyDescent="0.25">
      <c r="B21" s="1394" t="s">
        <v>1771</v>
      </c>
      <c r="C21" s="1381">
        <v>35</v>
      </c>
      <c r="D21" s="1380">
        <v>-10.007748691099476</v>
      </c>
      <c r="E21" s="1380">
        <v>-11.087399999999999</v>
      </c>
      <c r="F21" s="1380">
        <v>-5.5436999999999994</v>
      </c>
      <c r="G21" s="1380">
        <v>1.6742857142857146</v>
      </c>
      <c r="H21" s="1393">
        <v>-0.15839142857142854</v>
      </c>
      <c r="I21" s="1393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 x14ac:dyDescent="0.25">
      <c r="B22" s="1394" t="s">
        <v>1736</v>
      </c>
      <c r="C22" s="1381">
        <v>123</v>
      </c>
      <c r="D22" s="1380">
        <v>102.25670157068068</v>
      </c>
      <c r="E22" s="1380">
        <v>76.903399999999976</v>
      </c>
      <c r="F22" s="1380">
        <v>1.4940411031135592</v>
      </c>
      <c r="G22" s="1380">
        <v>22.187073170731708</v>
      </c>
      <c r="H22" s="1393">
        <v>7.3432327319914899E-3</v>
      </c>
      <c r="I22" s="1393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 x14ac:dyDescent="0.25">
      <c r="B23" s="1394" t="s">
        <v>1753</v>
      </c>
      <c r="C23" s="1381">
        <v>31</v>
      </c>
      <c r="D23" s="1380">
        <v>-34.778219895287954</v>
      </c>
      <c r="E23" s="1380">
        <v>-42.445400000000006</v>
      </c>
      <c r="F23" s="1380">
        <v>-0.16024369539091321</v>
      </c>
      <c r="G23" s="1380">
        <v>2.5438709677419356</v>
      </c>
      <c r="H23" s="1393">
        <v>-9.5468735942420169E-2</v>
      </c>
      <c r="I23" s="1393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 x14ac:dyDescent="0.25">
      <c r="B24" s="1394" t="s">
        <v>1643</v>
      </c>
      <c r="C24" s="1381">
        <v>51</v>
      </c>
      <c r="D24" s="1380">
        <v>-31.429319371727747</v>
      </c>
      <c r="E24" s="1380">
        <v>-34.290000000000006</v>
      </c>
      <c r="F24" s="1380">
        <v>-0.7453333333333334</v>
      </c>
      <c r="G24" s="1380">
        <v>1.4664705882352937</v>
      </c>
      <c r="H24" s="1393">
        <v>-8.4250614250614267E-2</v>
      </c>
      <c r="I24" s="1393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 x14ac:dyDescent="0.25">
      <c r="B25" s="1394" t="s">
        <v>1696</v>
      </c>
      <c r="C25" s="1381">
        <v>20</v>
      </c>
      <c r="D25" s="1380">
        <v>-0.43554973821989185</v>
      </c>
      <c r="E25" s="1380">
        <v>-1.4999999999999976</v>
      </c>
      <c r="F25" s="1380">
        <v>-0.12234641548927228</v>
      </c>
      <c r="G25" s="1380">
        <v>2.1914999999999996</v>
      </c>
      <c r="H25" s="1393">
        <v>-1.8752344043005346E-2</v>
      </c>
      <c r="I25" s="1393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 x14ac:dyDescent="0.25">
      <c r="B26" s="1394" t="s">
        <v>3293</v>
      </c>
      <c r="C26" s="1381">
        <v>24</v>
      </c>
      <c r="D26" s="1380">
        <v>2.0942408376963355</v>
      </c>
      <c r="E26" s="1380">
        <v>1.1899999999999995</v>
      </c>
      <c r="F26" s="1380">
        <v>0.59499999999999975</v>
      </c>
      <c r="G26" s="1380">
        <v>1.6745833333333333</v>
      </c>
      <c r="H26" s="1393">
        <v>2.4791666666666656E-2</v>
      </c>
      <c r="I26" s="1393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 x14ac:dyDescent="0.25">
      <c r="B27" s="1394" t="s">
        <v>2304</v>
      </c>
      <c r="C27" s="1381">
        <v>34</v>
      </c>
      <c r="D27" s="1380">
        <v>-43.963350785340324</v>
      </c>
      <c r="E27" s="1380">
        <v>-47.384999999999991</v>
      </c>
      <c r="F27" s="1380">
        <v>-0.58592857142857191</v>
      </c>
      <c r="G27" s="1380">
        <v>1.0458823529411765</v>
      </c>
      <c r="H27" s="1393">
        <v>-2.692329545454545E-2</v>
      </c>
      <c r="I27" s="1393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 x14ac:dyDescent="0.25">
      <c r="B28" s="1391" t="s">
        <v>267</v>
      </c>
      <c r="C28" s="1381">
        <v>1074</v>
      </c>
      <c r="D28" s="1380">
        <v>-255.83680244007843</v>
      </c>
      <c r="E28" s="1380">
        <v>-392.01655000000073</v>
      </c>
      <c r="F28" s="1380">
        <v>-16.567923010916271</v>
      </c>
      <c r="G28" s="1380">
        <v>8.9687895716945967</v>
      </c>
      <c r="H28" s="1393">
        <v>-1.3247924438651368E-2</v>
      </c>
      <c r="I28" s="1393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 x14ac:dyDescent="0.25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 x14ac:dyDescent="0.25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 x14ac:dyDescent="0.25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 x14ac:dyDescent="0.25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 x14ac:dyDescent="0.25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 x14ac:dyDescent="0.25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 x14ac:dyDescent="0.25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 x14ac:dyDescent="0.25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 x14ac:dyDescent="0.25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 x14ac:dyDescent="0.25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 x14ac:dyDescent="0.25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 x14ac:dyDescent="0.25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 x14ac:dyDescent="0.25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 x14ac:dyDescent="0.25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 x14ac:dyDescent="0.25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 x14ac:dyDescent="0.25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 x14ac:dyDescent="0.25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 x14ac:dyDescent="0.25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 x14ac:dyDescent="0.25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 x14ac:dyDescent="0.25"/>
    <row r="2" spans="2:17" ht="13.8" x14ac:dyDescent="0.25">
      <c r="B2" s="1389" t="s">
        <v>266</v>
      </c>
      <c r="C2" s="1390" t="s">
        <v>1231</v>
      </c>
      <c r="D2" s="1390" t="s">
        <v>385</v>
      </c>
      <c r="E2"/>
      <c r="G2" s="1389" t="s">
        <v>266</v>
      </c>
      <c r="H2" s="1390" t="s">
        <v>1231</v>
      </c>
      <c r="I2" s="1390" t="s">
        <v>385</v>
      </c>
      <c r="J2"/>
      <c r="L2" s="1389" t="s">
        <v>266</v>
      </c>
      <c r="M2" s="1390" t="s">
        <v>1231</v>
      </c>
      <c r="N2" s="1390" t="s">
        <v>385</v>
      </c>
      <c r="O2"/>
    </row>
    <row r="3" spans="2:17" ht="13.8" x14ac:dyDescent="0.25">
      <c r="B3" s="1391" t="s">
        <v>390</v>
      </c>
      <c r="C3" s="1393">
        <v>0.8571428571428571</v>
      </c>
      <c r="D3" s="1380">
        <v>120.03315000000003</v>
      </c>
      <c r="E3"/>
      <c r="G3" s="1391">
        <v>8</v>
      </c>
      <c r="H3" s="1393">
        <v>0.75</v>
      </c>
      <c r="I3" s="1380">
        <v>-27.193049999999999</v>
      </c>
      <c r="J3"/>
      <c r="L3" s="1391" t="s">
        <v>391</v>
      </c>
      <c r="M3" s="1393">
        <v>0.91390728476821192</v>
      </c>
      <c r="N3" s="1380">
        <v>1324.7618999999995</v>
      </c>
      <c r="O3"/>
      <c r="P3" s="1390" t="s">
        <v>3972</v>
      </c>
      <c r="Q3" s="1390" t="s">
        <v>1232</v>
      </c>
    </row>
    <row r="4" spans="2:17" ht="13.8" x14ac:dyDescent="0.25">
      <c r="B4" s="1391" t="s">
        <v>1209</v>
      </c>
      <c r="C4" s="1393">
        <v>1</v>
      </c>
      <c r="D4" s="1380">
        <v>202.51000000000002</v>
      </c>
      <c r="E4"/>
      <c r="G4" s="1391">
        <v>8.1999999999999993</v>
      </c>
      <c r="H4" s="1393">
        <v>0.6</v>
      </c>
      <c r="I4" s="1380">
        <v>-204.76870000000002</v>
      </c>
      <c r="J4"/>
      <c r="L4" s="1391" t="s">
        <v>1475</v>
      </c>
      <c r="M4" s="1393">
        <v>1</v>
      </c>
      <c r="N4" s="1380">
        <v>197.69</v>
      </c>
      <c r="O4"/>
      <c r="P4" s="1380">
        <v>208</v>
      </c>
      <c r="Q4" s="1380">
        <v>13.409066220449334</v>
      </c>
    </row>
    <row r="5" spans="2:17" ht="13.8" x14ac:dyDescent="0.25">
      <c r="B5" s="1391" t="s">
        <v>1202</v>
      </c>
      <c r="C5" s="1393">
        <v>1</v>
      </c>
      <c r="D5" s="1380">
        <v>65.853149999999999</v>
      </c>
      <c r="E5"/>
      <c r="G5" s="1391">
        <v>8.4</v>
      </c>
      <c r="H5" s="1393">
        <v>1</v>
      </c>
      <c r="I5" s="1380">
        <v>249.8563</v>
      </c>
      <c r="J5"/>
      <c r="L5" s="1391" t="s">
        <v>4470</v>
      </c>
      <c r="M5" s="1393">
        <v>1</v>
      </c>
      <c r="N5" s="1380">
        <v>169.87855000000002</v>
      </c>
      <c r="O5"/>
    </row>
    <row r="6" spans="2:17" ht="13.8" x14ac:dyDescent="0.25">
      <c r="B6" s="1391" t="s">
        <v>1200</v>
      </c>
      <c r="C6" s="1393">
        <v>1</v>
      </c>
      <c r="D6" s="1380">
        <v>50.82</v>
      </c>
      <c r="E6"/>
      <c r="G6" s="1391">
        <v>8.6</v>
      </c>
      <c r="H6" s="1393">
        <v>1</v>
      </c>
      <c r="I6" s="1380">
        <v>235.23</v>
      </c>
      <c r="J6"/>
      <c r="L6" s="1391" t="s">
        <v>1219</v>
      </c>
      <c r="M6" s="1393">
        <v>1</v>
      </c>
      <c r="N6" s="1380">
        <v>167.35774999999998</v>
      </c>
      <c r="O6"/>
    </row>
    <row r="7" spans="2:17" ht="13.8" x14ac:dyDescent="0.25">
      <c r="B7" s="1391" t="s">
        <v>1199</v>
      </c>
      <c r="C7" s="1393">
        <v>1</v>
      </c>
      <c r="D7" s="1380">
        <v>40.69</v>
      </c>
      <c r="E7"/>
      <c r="G7" s="1391">
        <v>8.8000000000000007</v>
      </c>
      <c r="H7" s="1393">
        <v>0.83333333333333337</v>
      </c>
      <c r="I7" s="1380">
        <v>-178.13</v>
      </c>
      <c r="J7"/>
      <c r="L7" s="1391" t="s">
        <v>4469</v>
      </c>
      <c r="M7" s="1393">
        <v>1</v>
      </c>
      <c r="N7" s="1380">
        <v>137.41000000000003</v>
      </c>
      <c r="O7"/>
    </row>
    <row r="8" spans="2:17" ht="13.8" x14ac:dyDescent="0.25">
      <c r="B8" s="1391" t="s">
        <v>1359</v>
      </c>
      <c r="C8" s="1393">
        <v>1</v>
      </c>
      <c r="D8" s="1380">
        <v>36.08</v>
      </c>
      <c r="E8"/>
      <c r="G8" s="1391">
        <v>9</v>
      </c>
      <c r="H8" s="1393">
        <v>0.875</v>
      </c>
      <c r="I8" s="1380">
        <v>314.36999999999995</v>
      </c>
      <c r="J8"/>
      <c r="L8" s="1391" t="s">
        <v>4516</v>
      </c>
      <c r="M8" s="1393">
        <v>1</v>
      </c>
      <c r="N8" s="1380">
        <v>112.56129999999999</v>
      </c>
      <c r="O8"/>
    </row>
    <row r="9" spans="2:17" ht="13.8" x14ac:dyDescent="0.25">
      <c r="B9" s="1391" t="s">
        <v>1201</v>
      </c>
      <c r="C9" s="1393">
        <v>0.5</v>
      </c>
      <c r="D9" s="1380">
        <v>13.819999999999999</v>
      </c>
      <c r="E9"/>
      <c r="G9" s="1391">
        <v>9.0297787256731521</v>
      </c>
      <c r="H9" s="1393">
        <v>1</v>
      </c>
      <c r="I9" s="1380">
        <v>17.86</v>
      </c>
      <c r="J9"/>
      <c r="L9" s="1391" t="s">
        <v>4517</v>
      </c>
      <c r="M9" s="1393">
        <v>1</v>
      </c>
      <c r="N9" s="1380">
        <v>112.49999999999999</v>
      </c>
      <c r="O9"/>
    </row>
    <row r="10" spans="2:17" ht="13.8" x14ac:dyDescent="0.25">
      <c r="B10" s="1391" t="s">
        <v>1206</v>
      </c>
      <c r="C10" s="1393">
        <v>1</v>
      </c>
      <c r="D10" s="1380">
        <v>11.46</v>
      </c>
      <c r="E10"/>
      <c r="G10" s="1391">
        <v>9.1999999999999993</v>
      </c>
      <c r="H10" s="1393">
        <v>1</v>
      </c>
      <c r="I10" s="1380">
        <v>277.10999999999996</v>
      </c>
      <c r="J10"/>
      <c r="L10" s="1391" t="s">
        <v>4468</v>
      </c>
      <c r="M10" s="1393">
        <v>1</v>
      </c>
      <c r="N10" s="1380">
        <v>108.8566</v>
      </c>
      <c r="O10"/>
    </row>
    <row r="11" spans="2:17" ht="13.8" x14ac:dyDescent="0.25">
      <c r="B11" s="1391" t="s">
        <v>1217</v>
      </c>
      <c r="C11" s="1393">
        <v>0</v>
      </c>
      <c r="D11" s="1380">
        <v>-147.32</v>
      </c>
      <c r="E11"/>
      <c r="G11" s="1391">
        <v>9.4</v>
      </c>
      <c r="H11" s="1393">
        <v>1</v>
      </c>
      <c r="I11" s="1380">
        <v>78.010000000000005</v>
      </c>
      <c r="J11"/>
      <c r="L11" s="1391" t="s">
        <v>4518</v>
      </c>
      <c r="M11" s="1393">
        <v>1</v>
      </c>
      <c r="N11" s="1380">
        <v>100.09</v>
      </c>
      <c r="O11"/>
    </row>
    <row r="12" spans="2:17" ht="13.8" x14ac:dyDescent="0.25">
      <c r="B12" s="1391" t="s">
        <v>3767</v>
      </c>
      <c r="C12" s="1393">
        <v>0.5</v>
      </c>
      <c r="D12" s="1380">
        <v>-153.88</v>
      </c>
      <c r="E12"/>
      <c r="G12" s="1391">
        <v>9.6</v>
      </c>
      <c r="H12" s="1393">
        <v>0.75</v>
      </c>
      <c r="I12" s="1380">
        <v>-305.69</v>
      </c>
      <c r="J12"/>
      <c r="L12" s="1391" t="s">
        <v>4519</v>
      </c>
      <c r="M12" s="1393">
        <v>1</v>
      </c>
      <c r="N12" s="1380">
        <v>98.910550000000001</v>
      </c>
      <c r="O12"/>
    </row>
    <row r="13" spans="2:17" ht="13.8" x14ac:dyDescent="0.25">
      <c r="B13" s="1391" t="s">
        <v>391</v>
      </c>
      <c r="C13" s="1393">
        <v>0.91390728476821192</v>
      </c>
      <c r="D13" s="1380">
        <v>1324.7618999999988</v>
      </c>
      <c r="E13"/>
      <c r="G13" s="1391">
        <v>9.6883567567567574</v>
      </c>
      <c r="H13" s="1393">
        <v>1</v>
      </c>
      <c r="I13" s="1380">
        <v>40.69</v>
      </c>
      <c r="J13"/>
      <c r="L13" s="1391" t="s">
        <v>4520</v>
      </c>
      <c r="M13" s="1393">
        <v>1</v>
      </c>
      <c r="N13" s="1380">
        <v>98.800000000000011</v>
      </c>
      <c r="O13"/>
    </row>
    <row r="14" spans="2:17" ht="13.8" x14ac:dyDescent="0.25">
      <c r="B14" s="1391" t="s">
        <v>1359</v>
      </c>
      <c r="C14" s="1393">
        <v>1</v>
      </c>
      <c r="D14" s="1380">
        <v>445.88694999999996</v>
      </c>
      <c r="E14"/>
      <c r="G14" s="1391">
        <v>9.7999250018749517</v>
      </c>
      <c r="H14" s="1393">
        <v>1</v>
      </c>
      <c r="I14" s="1380">
        <v>43.48</v>
      </c>
      <c r="J14"/>
      <c r="L14" s="1391" t="s">
        <v>4521</v>
      </c>
      <c r="M14" s="1393">
        <v>1</v>
      </c>
      <c r="N14" s="1380">
        <v>98.75</v>
      </c>
      <c r="O14"/>
    </row>
    <row r="15" spans="2:17" ht="13.8" x14ac:dyDescent="0.25">
      <c r="B15" s="1391" t="s">
        <v>1206</v>
      </c>
      <c r="C15" s="1393">
        <v>1</v>
      </c>
      <c r="D15" s="1380">
        <v>338.73985000000005</v>
      </c>
      <c r="E15"/>
      <c r="G15" s="1391">
        <v>9.8000000000000007</v>
      </c>
      <c r="H15" s="1393">
        <v>0.8571428571428571</v>
      </c>
      <c r="I15" s="1380">
        <v>-152.39999999999995</v>
      </c>
      <c r="J15"/>
      <c r="L15" s="1391" t="s">
        <v>4522</v>
      </c>
      <c r="M15" s="1393">
        <v>1</v>
      </c>
      <c r="N15" s="1380">
        <v>94.75</v>
      </c>
      <c r="O15"/>
    </row>
    <row r="16" spans="2:17" ht="13.8" x14ac:dyDescent="0.25">
      <c r="B16" s="1391" t="s">
        <v>1200</v>
      </c>
      <c r="C16" s="1393">
        <v>1</v>
      </c>
      <c r="D16" s="1380">
        <v>295.46629999999999</v>
      </c>
      <c r="E16"/>
      <c r="G16" s="1391">
        <v>10</v>
      </c>
      <c r="H16" s="1393">
        <v>1</v>
      </c>
      <c r="I16" s="1380">
        <v>415.41999999999996</v>
      </c>
      <c r="J16"/>
      <c r="L16" s="1391" t="s">
        <v>1221</v>
      </c>
      <c r="M16" s="1393">
        <v>1</v>
      </c>
      <c r="N16" s="1380">
        <v>92.45</v>
      </c>
      <c r="O16"/>
    </row>
    <row r="17" spans="2:15" ht="13.8" x14ac:dyDescent="0.25">
      <c r="B17" s="1391" t="s">
        <v>1203</v>
      </c>
      <c r="C17" s="1393">
        <v>1</v>
      </c>
      <c r="D17" s="1380">
        <v>246.21999999999997</v>
      </c>
      <c r="E17"/>
      <c r="G17" s="1391">
        <v>10.247327524770684</v>
      </c>
      <c r="H17" s="1393">
        <v>1</v>
      </c>
      <c r="I17" s="1380">
        <v>44.96</v>
      </c>
      <c r="J17"/>
      <c r="L17" s="1391" t="s">
        <v>4523</v>
      </c>
      <c r="M17" s="1393">
        <v>1</v>
      </c>
      <c r="N17" s="1380">
        <v>79.14</v>
      </c>
      <c r="O17"/>
    </row>
    <row r="18" spans="2:15" ht="13.8" x14ac:dyDescent="0.25">
      <c r="B18" s="1391" t="s">
        <v>1202</v>
      </c>
      <c r="C18" s="1393">
        <v>0.88888888888888884</v>
      </c>
      <c r="D18" s="1380">
        <v>210.86519999999996</v>
      </c>
      <c r="E18"/>
      <c r="G18" s="1391">
        <v>10.5</v>
      </c>
      <c r="H18" s="1393">
        <v>1</v>
      </c>
      <c r="I18" s="1380">
        <v>284.24669999999998</v>
      </c>
      <c r="J18"/>
      <c r="L18" s="1391" t="s">
        <v>4524</v>
      </c>
      <c r="M18" s="1393">
        <v>0.75</v>
      </c>
      <c r="N18" s="1380">
        <v>76.031649999999999</v>
      </c>
      <c r="O18"/>
    </row>
    <row r="19" spans="2:15" ht="13.8" x14ac:dyDescent="0.25">
      <c r="B19" s="1391" t="s">
        <v>1209</v>
      </c>
      <c r="C19" s="1393">
        <v>1</v>
      </c>
      <c r="D19" s="1380">
        <v>173.85325</v>
      </c>
      <c r="E19"/>
      <c r="G19" s="1391">
        <v>11</v>
      </c>
      <c r="H19" s="1393">
        <v>1</v>
      </c>
      <c r="I19" s="1380">
        <v>348.79999999999995</v>
      </c>
      <c r="J19"/>
      <c r="L19" s="1391" t="s">
        <v>4525</v>
      </c>
      <c r="M19" s="1393">
        <v>1</v>
      </c>
      <c r="N19" s="1380">
        <v>75.16</v>
      </c>
      <c r="O19"/>
    </row>
    <row r="20" spans="2:15" ht="13.8" x14ac:dyDescent="0.25">
      <c r="B20" s="1391" t="s">
        <v>1213</v>
      </c>
      <c r="C20" s="1393">
        <v>1</v>
      </c>
      <c r="D20" s="1380">
        <v>159.94319999999999</v>
      </c>
      <c r="E20"/>
      <c r="G20" s="1391">
        <v>11.5</v>
      </c>
      <c r="H20" s="1393">
        <v>0.625</v>
      </c>
      <c r="I20" s="1380">
        <v>-349.64</v>
      </c>
      <c r="J20"/>
      <c r="L20" s="1391" t="s">
        <v>4526</v>
      </c>
      <c r="M20" s="1393">
        <v>0.75</v>
      </c>
      <c r="N20" s="1380">
        <v>74.274650000000008</v>
      </c>
      <c r="O20"/>
    </row>
    <row r="21" spans="2:15" ht="13.8" x14ac:dyDescent="0.25">
      <c r="B21" s="1391" t="s">
        <v>3292</v>
      </c>
      <c r="C21" s="1393">
        <v>1</v>
      </c>
      <c r="D21" s="1380">
        <v>144.3913</v>
      </c>
      <c r="E21"/>
      <c r="G21" s="1391">
        <v>12</v>
      </c>
      <c r="H21" s="1393">
        <v>0.9</v>
      </c>
      <c r="I21" s="1380">
        <v>-157.22000000000003</v>
      </c>
      <c r="J21"/>
      <c r="L21" s="1391" t="s">
        <v>4527</v>
      </c>
      <c r="M21" s="1393">
        <v>1</v>
      </c>
      <c r="N21" s="1380">
        <v>66.98</v>
      </c>
      <c r="O21"/>
    </row>
    <row r="22" spans="2:15" ht="13.8" x14ac:dyDescent="0.25">
      <c r="B22" s="1391" t="s">
        <v>1199</v>
      </c>
      <c r="C22" s="1393">
        <v>1</v>
      </c>
      <c r="D22" s="1380">
        <v>143.85</v>
      </c>
      <c r="E22"/>
      <c r="G22" s="1391">
        <v>12.5</v>
      </c>
      <c r="H22" s="1393">
        <v>1</v>
      </c>
      <c r="I22" s="1380">
        <v>385.94319999999999</v>
      </c>
      <c r="J22"/>
      <c r="L22" s="1391" t="s">
        <v>1220</v>
      </c>
      <c r="M22" s="1393">
        <v>1</v>
      </c>
      <c r="N22" s="1380">
        <v>65.050000000000011</v>
      </c>
      <c r="O22"/>
    </row>
    <row r="23" spans="2:15" ht="13.8" x14ac:dyDescent="0.25">
      <c r="B23" s="1391" t="s">
        <v>4464</v>
      </c>
      <c r="C23" s="1393">
        <v>1</v>
      </c>
      <c r="D23" s="1380">
        <v>135.31764999999999</v>
      </c>
      <c r="E23"/>
      <c r="G23" s="1391">
        <v>13</v>
      </c>
      <c r="H23" s="1393">
        <v>1</v>
      </c>
      <c r="I23" s="1380">
        <v>163.92999999999998</v>
      </c>
      <c r="J23"/>
      <c r="L23" s="1391" t="s">
        <v>4528</v>
      </c>
      <c r="M23" s="1393">
        <v>1</v>
      </c>
      <c r="N23" s="1380">
        <v>64.16</v>
      </c>
      <c r="O23"/>
    </row>
    <row r="24" spans="2:15" ht="13.8" x14ac:dyDescent="0.25">
      <c r="B24" s="1391" t="s">
        <v>1201</v>
      </c>
      <c r="C24" s="1393">
        <v>0.9</v>
      </c>
      <c r="D24" s="1380">
        <v>131.94995000000003</v>
      </c>
      <c r="E24"/>
      <c r="G24" s="1391">
        <v>13.5</v>
      </c>
      <c r="H24" s="1393">
        <v>0.90909090909090906</v>
      </c>
      <c r="I24" s="1380">
        <v>204.85999999999999</v>
      </c>
      <c r="J24"/>
      <c r="L24" s="1391" t="s">
        <v>2205</v>
      </c>
      <c r="M24" s="1393">
        <v>1</v>
      </c>
      <c r="N24" s="1380">
        <v>61.72</v>
      </c>
      <c r="O24"/>
    </row>
    <row r="25" spans="2:15" ht="13.8" x14ac:dyDescent="0.25">
      <c r="B25" s="1391" t="s">
        <v>2008</v>
      </c>
      <c r="C25" s="1393">
        <v>1</v>
      </c>
      <c r="D25" s="1380">
        <v>125.4666</v>
      </c>
      <c r="E25"/>
      <c r="G25" s="1391">
        <v>13.79</v>
      </c>
      <c r="H25" s="1393">
        <v>1</v>
      </c>
      <c r="I25" s="1380">
        <v>27.914649999999998</v>
      </c>
      <c r="J25"/>
      <c r="L25" s="1391" t="s">
        <v>1226</v>
      </c>
      <c r="M25" s="1393">
        <v>1</v>
      </c>
      <c r="N25" s="1380">
        <v>61</v>
      </c>
      <c r="O25"/>
    </row>
    <row r="26" spans="2:15" ht="13.8" x14ac:dyDescent="0.25">
      <c r="B26" s="1391" t="s">
        <v>1217</v>
      </c>
      <c r="C26" s="1393">
        <v>1</v>
      </c>
      <c r="D26" s="1380">
        <v>109.18</v>
      </c>
      <c r="E26"/>
      <c r="G26" s="1391">
        <v>13.82</v>
      </c>
      <c r="H26" s="1393">
        <v>1</v>
      </c>
      <c r="I26" s="1380">
        <v>11.02</v>
      </c>
      <c r="J26"/>
      <c r="L26" s="1391" t="s">
        <v>4529</v>
      </c>
      <c r="M26" s="1393">
        <v>1</v>
      </c>
      <c r="N26" s="1380">
        <v>60.95</v>
      </c>
      <c r="O26"/>
    </row>
    <row r="27" spans="2:15" ht="13.8" x14ac:dyDescent="0.25">
      <c r="B27" s="1391" t="s">
        <v>1208</v>
      </c>
      <c r="C27" s="1393">
        <v>0.8</v>
      </c>
      <c r="D27" s="1380">
        <v>107.86165</v>
      </c>
      <c r="E27"/>
      <c r="G27" s="1391">
        <v>14</v>
      </c>
      <c r="H27" s="1393">
        <v>0.9</v>
      </c>
      <c r="I27" s="1380">
        <v>-112.58999999999999</v>
      </c>
      <c r="J27"/>
      <c r="L27" s="1391" t="s">
        <v>4471</v>
      </c>
      <c r="M27" s="1393">
        <v>1</v>
      </c>
      <c r="N27" s="1380">
        <v>59.047649999999997</v>
      </c>
      <c r="O27"/>
    </row>
    <row r="28" spans="2:15" ht="13.8" x14ac:dyDescent="0.25">
      <c r="B28" s="1391" t="s">
        <v>3634</v>
      </c>
      <c r="C28" s="1393">
        <v>1</v>
      </c>
      <c r="D28" s="1380">
        <v>100.09</v>
      </c>
      <c r="E28"/>
      <c r="G28" s="1391">
        <v>14.5</v>
      </c>
      <c r="H28" s="1393">
        <v>1</v>
      </c>
      <c r="I28" s="1380">
        <v>271.52634999999998</v>
      </c>
      <c r="J28"/>
      <c r="L28" s="1391" t="s">
        <v>1229</v>
      </c>
      <c r="M28" s="1393">
        <v>1</v>
      </c>
      <c r="N28" s="1380">
        <v>56.120000000000005</v>
      </c>
      <c r="O28"/>
    </row>
    <row r="29" spans="2:15" ht="13.8" x14ac:dyDescent="0.25">
      <c r="B29" s="1391" t="s">
        <v>3598</v>
      </c>
      <c r="C29" s="1393">
        <v>1</v>
      </c>
      <c r="D29" s="1380">
        <v>84.08</v>
      </c>
      <c r="E29"/>
      <c r="G29" s="1391">
        <v>15</v>
      </c>
      <c r="H29" s="1393">
        <v>1</v>
      </c>
      <c r="I29" s="1380">
        <v>62.97</v>
      </c>
      <c r="J29"/>
      <c r="L29" s="1391" t="s">
        <v>4530</v>
      </c>
      <c r="M29" s="1393">
        <v>1</v>
      </c>
      <c r="N29" s="1380">
        <v>55.57</v>
      </c>
      <c r="O29"/>
    </row>
    <row r="30" spans="2:15" ht="13.8" x14ac:dyDescent="0.25">
      <c r="B30" s="1391" t="s">
        <v>1204</v>
      </c>
      <c r="C30" s="1393">
        <v>1</v>
      </c>
      <c r="D30" s="1380">
        <v>74.62</v>
      </c>
      <c r="E30"/>
      <c r="G30" s="1391">
        <v>15.5</v>
      </c>
      <c r="H30" s="1393">
        <v>1</v>
      </c>
      <c r="I30" s="1380">
        <v>121.33054999999999</v>
      </c>
      <c r="J30"/>
      <c r="L30" s="1391" t="s">
        <v>1246</v>
      </c>
      <c r="M30" s="1393">
        <v>1</v>
      </c>
      <c r="N30" s="1380">
        <v>54.873249999999999</v>
      </c>
      <c r="O30"/>
    </row>
    <row r="31" spans="2:15" ht="13.8" x14ac:dyDescent="0.25">
      <c r="B31" s="1391" t="s">
        <v>2126</v>
      </c>
      <c r="C31" s="1393">
        <v>1</v>
      </c>
      <c r="D31" s="1380">
        <v>61.72</v>
      </c>
      <c r="E31"/>
      <c r="G31" s="1391">
        <v>16</v>
      </c>
      <c r="H31" s="1393">
        <v>1</v>
      </c>
      <c r="I31" s="1380">
        <v>101.23984999999999</v>
      </c>
      <c r="J31"/>
      <c r="L31" s="1391" t="s">
        <v>1534</v>
      </c>
      <c r="M31" s="1393">
        <v>1</v>
      </c>
      <c r="N31" s="1380">
        <v>53.4</v>
      </c>
      <c r="O31"/>
    </row>
    <row r="32" spans="2:15" ht="13.8" x14ac:dyDescent="0.25">
      <c r="B32" s="1391" t="s">
        <v>2066</v>
      </c>
      <c r="C32" s="1393">
        <v>1</v>
      </c>
      <c r="D32" s="1380">
        <v>53.28</v>
      </c>
      <c r="E32"/>
      <c r="G32" s="1391">
        <v>16.5</v>
      </c>
      <c r="H32" s="1393">
        <v>1</v>
      </c>
      <c r="I32" s="1380">
        <v>209.72424999999998</v>
      </c>
      <c r="J32"/>
      <c r="L32" s="1391" t="s">
        <v>4531</v>
      </c>
      <c r="M32" s="1393">
        <v>1</v>
      </c>
      <c r="N32" s="1380">
        <v>53.28</v>
      </c>
      <c r="O32"/>
    </row>
    <row r="33" spans="2:15" ht="13.8" x14ac:dyDescent="0.25">
      <c r="B33" s="1391" t="s">
        <v>2920</v>
      </c>
      <c r="C33" s="1393">
        <v>1</v>
      </c>
      <c r="D33" s="1380">
        <v>51.85</v>
      </c>
      <c r="E33"/>
      <c r="G33" s="1391">
        <v>17</v>
      </c>
      <c r="H33" s="1393">
        <v>1</v>
      </c>
      <c r="I33" s="1380">
        <v>44.69</v>
      </c>
      <c r="J33"/>
      <c r="L33" s="1391" t="s">
        <v>4532</v>
      </c>
      <c r="M33" s="1393">
        <v>1</v>
      </c>
      <c r="N33" s="1380">
        <v>51.85</v>
      </c>
      <c r="O33"/>
    </row>
    <row r="34" spans="2:15" ht="13.8" x14ac:dyDescent="0.25">
      <c r="B34" s="1391" t="s">
        <v>2406</v>
      </c>
      <c r="C34" s="1393">
        <v>1</v>
      </c>
      <c r="D34" s="1380">
        <v>50.93</v>
      </c>
      <c r="E34"/>
      <c r="G34" s="1391">
        <v>17.5</v>
      </c>
      <c r="H34" s="1393">
        <v>0</v>
      </c>
      <c r="I34" s="1380">
        <v>-72.17</v>
      </c>
      <c r="J34"/>
      <c r="L34" s="1391" t="s">
        <v>4533</v>
      </c>
      <c r="M34" s="1393">
        <v>1</v>
      </c>
      <c r="N34" s="1380">
        <v>51.63</v>
      </c>
      <c r="O34"/>
    </row>
    <row r="35" spans="2:15" ht="13.8" x14ac:dyDescent="0.25">
      <c r="B35" s="1391" t="s">
        <v>4465</v>
      </c>
      <c r="C35" s="1393">
        <v>1</v>
      </c>
      <c r="D35" s="1380">
        <v>43.48</v>
      </c>
      <c r="E35"/>
      <c r="G35" s="1391">
        <v>18.5</v>
      </c>
      <c r="H35" s="1393">
        <v>1</v>
      </c>
      <c r="I35" s="1380">
        <v>36.03</v>
      </c>
      <c r="J35"/>
      <c r="L35" s="1391" t="s">
        <v>4534</v>
      </c>
      <c r="M35" s="1393">
        <v>1</v>
      </c>
      <c r="N35" s="1380">
        <v>50.93</v>
      </c>
      <c r="O35"/>
    </row>
    <row r="36" spans="2:15" ht="13.8" x14ac:dyDescent="0.25">
      <c r="B36" s="1391" t="s">
        <v>4466</v>
      </c>
      <c r="C36" s="1393">
        <v>1</v>
      </c>
      <c r="D36" s="1380">
        <v>42.5</v>
      </c>
      <c r="E36"/>
      <c r="G36" s="1391">
        <v>19</v>
      </c>
      <c r="H36" s="1393">
        <v>1</v>
      </c>
      <c r="I36" s="1380">
        <v>41.379999999999995</v>
      </c>
      <c r="J36"/>
      <c r="L36" s="1391" t="s">
        <v>4535</v>
      </c>
      <c r="M36" s="1393">
        <v>1</v>
      </c>
      <c r="N36" s="1380">
        <v>50.31</v>
      </c>
      <c r="O36"/>
    </row>
    <row r="37" spans="2:15" ht="13.8" x14ac:dyDescent="0.25">
      <c r="B37" s="1391" t="s">
        <v>1585</v>
      </c>
      <c r="C37" s="1393">
        <v>1</v>
      </c>
      <c r="D37" s="1380">
        <v>38.770000000000003</v>
      </c>
      <c r="E37"/>
      <c r="G37" s="1391">
        <v>21</v>
      </c>
      <c r="H37" s="1393">
        <v>1</v>
      </c>
      <c r="I37" s="1380">
        <v>97.65</v>
      </c>
      <c r="J37"/>
      <c r="L37" s="1391" t="s">
        <v>414</v>
      </c>
      <c r="M37" s="1393">
        <v>1</v>
      </c>
      <c r="N37" s="1380">
        <v>49.14</v>
      </c>
      <c r="O37"/>
    </row>
    <row r="38" spans="2:15" ht="13.8" x14ac:dyDescent="0.25">
      <c r="B38" s="1391" t="s">
        <v>3742</v>
      </c>
      <c r="C38" s="1393">
        <v>1</v>
      </c>
      <c r="D38" s="1380">
        <v>35.020000000000003</v>
      </c>
      <c r="E38"/>
      <c r="G38" s="1391">
        <v>22</v>
      </c>
      <c r="H38" s="1393">
        <v>1</v>
      </c>
      <c r="I38" s="1380">
        <v>37.39</v>
      </c>
      <c r="J38"/>
      <c r="L38" s="1391" t="s">
        <v>4536</v>
      </c>
      <c r="M38" s="1393">
        <v>1</v>
      </c>
      <c r="N38" s="1380">
        <v>47.75</v>
      </c>
      <c r="O38"/>
    </row>
    <row r="39" spans="2:15" ht="13.8" x14ac:dyDescent="0.25">
      <c r="B39" s="1391" t="s">
        <v>1496</v>
      </c>
      <c r="C39" s="1393">
        <v>1</v>
      </c>
      <c r="D39" s="1380">
        <v>33.85</v>
      </c>
      <c r="E39"/>
      <c r="G39" s="1391">
        <v>23</v>
      </c>
      <c r="H39" s="1393">
        <v>1</v>
      </c>
      <c r="I39" s="1380">
        <v>16.61</v>
      </c>
      <c r="J39"/>
      <c r="L39" s="1391" t="s">
        <v>4537</v>
      </c>
      <c r="M39" s="1393">
        <v>1</v>
      </c>
      <c r="N39" s="1380">
        <v>47.01</v>
      </c>
      <c r="O39"/>
    </row>
    <row r="40" spans="2:15" ht="13.8" x14ac:dyDescent="0.25">
      <c r="B40" s="1391" t="s">
        <v>1596</v>
      </c>
      <c r="C40" s="1393">
        <v>1</v>
      </c>
      <c r="D40" s="1380">
        <v>33.619999999999997</v>
      </c>
      <c r="E40"/>
      <c r="G40" s="1391">
        <v>25</v>
      </c>
      <c r="H40" s="1393">
        <v>1</v>
      </c>
      <c r="I40" s="1380">
        <v>31.32</v>
      </c>
      <c r="J40"/>
      <c r="L40" s="1391" t="s">
        <v>4472</v>
      </c>
      <c r="M40" s="1393">
        <v>1</v>
      </c>
      <c r="N40" s="1380">
        <v>46.69</v>
      </c>
      <c r="O40"/>
    </row>
    <row r="41" spans="2:15" ht="13.8" x14ac:dyDescent="0.25">
      <c r="B41" s="1391" t="s">
        <v>3483</v>
      </c>
      <c r="C41" s="1393">
        <v>1</v>
      </c>
      <c r="D41" s="1380">
        <v>31.83</v>
      </c>
      <c r="E41"/>
      <c r="G41" s="1391">
        <v>26</v>
      </c>
      <c r="H41" s="1393">
        <v>1</v>
      </c>
      <c r="I41" s="1380">
        <v>30.56</v>
      </c>
      <c r="J41"/>
      <c r="L41" s="1391" t="s">
        <v>4473</v>
      </c>
      <c r="M41" s="1393">
        <v>1</v>
      </c>
      <c r="N41" s="1380">
        <v>46.58</v>
      </c>
      <c r="O41"/>
    </row>
    <row r="42" spans="2:15" ht="13.8" x14ac:dyDescent="0.25">
      <c r="B42" s="1391" t="s">
        <v>2921</v>
      </c>
      <c r="C42" s="1393">
        <v>1</v>
      </c>
      <c r="D42" s="1380">
        <v>26.82</v>
      </c>
      <c r="E42"/>
      <c r="G42" s="1391">
        <v>28</v>
      </c>
      <c r="H42" s="1393">
        <v>1</v>
      </c>
      <c r="I42" s="1380">
        <v>14.14</v>
      </c>
      <c r="J42"/>
      <c r="L42" s="1391" t="s">
        <v>4538</v>
      </c>
      <c r="M42" s="1393">
        <v>1</v>
      </c>
      <c r="N42" s="1380">
        <v>43.48</v>
      </c>
      <c r="O42"/>
    </row>
    <row r="43" spans="2:15" ht="13.8" x14ac:dyDescent="0.25">
      <c r="B43" s="1391" t="s">
        <v>1216</v>
      </c>
      <c r="C43" s="1393">
        <v>1</v>
      </c>
      <c r="D43" s="1380">
        <v>22.48</v>
      </c>
      <c r="E43"/>
      <c r="G43" s="1391">
        <v>30</v>
      </c>
      <c r="H43" s="1393">
        <v>1</v>
      </c>
      <c r="I43" s="1380">
        <v>13.17</v>
      </c>
      <c r="J43"/>
      <c r="L43" s="1391" t="s">
        <v>4539</v>
      </c>
      <c r="M43" s="1393">
        <v>1</v>
      </c>
      <c r="N43" s="1380">
        <v>43.4</v>
      </c>
      <c r="O43"/>
    </row>
    <row r="44" spans="2:15" ht="13.8" x14ac:dyDescent="0.25">
      <c r="B44" s="1391" t="s">
        <v>1214</v>
      </c>
      <c r="C44" s="1393">
        <v>1</v>
      </c>
      <c r="D44" s="1380">
        <v>5.0199999999999996</v>
      </c>
      <c r="E44"/>
      <c r="G44" s="1391">
        <v>34</v>
      </c>
      <c r="H44" s="1393">
        <v>1</v>
      </c>
      <c r="I44" s="1380">
        <v>11</v>
      </c>
      <c r="J44"/>
      <c r="L44" s="1391" t="s">
        <v>4540</v>
      </c>
      <c r="M44" s="1393">
        <v>1</v>
      </c>
      <c r="N44" s="1380">
        <v>42.5</v>
      </c>
      <c r="O44"/>
    </row>
    <row r="45" spans="2:15" ht="13.8" x14ac:dyDescent="0.25">
      <c r="B45" s="1391" t="s">
        <v>1211</v>
      </c>
      <c r="C45" s="1393">
        <v>0</v>
      </c>
      <c r="D45" s="1380">
        <v>-1.04</v>
      </c>
      <c r="E45"/>
      <c r="G45" s="1391">
        <v>38</v>
      </c>
      <c r="H45" s="1393">
        <v>1</v>
      </c>
      <c r="I45" s="1380">
        <v>10.323550000000001</v>
      </c>
      <c r="J45"/>
      <c r="L45" s="1391" t="s">
        <v>4541</v>
      </c>
      <c r="M45" s="1393">
        <v>1</v>
      </c>
      <c r="N45" s="1380">
        <v>40.97</v>
      </c>
      <c r="O45"/>
    </row>
    <row r="46" spans="2:15" ht="13.8" x14ac:dyDescent="0.25">
      <c r="B46" s="1391" t="s">
        <v>3291</v>
      </c>
      <c r="C46" s="1393">
        <v>0.5</v>
      </c>
      <c r="D46" s="1380">
        <v>-41.61</v>
      </c>
      <c r="E46"/>
      <c r="G46" s="1391">
        <v>44</v>
      </c>
      <c r="H46" s="1393">
        <v>1</v>
      </c>
      <c r="I46" s="1380">
        <v>9.3000000000000007</v>
      </c>
      <c r="J46"/>
      <c r="L46" s="1391" t="s">
        <v>4543</v>
      </c>
      <c r="M46" s="1393">
        <v>1</v>
      </c>
      <c r="N46" s="1380">
        <v>40.32</v>
      </c>
      <c r="O46"/>
    </row>
    <row r="47" spans="2:15" ht="13.8" x14ac:dyDescent="0.25">
      <c r="B47" s="1391" t="s">
        <v>3767</v>
      </c>
      <c r="C47" s="1393">
        <v>0.8</v>
      </c>
      <c r="D47" s="1380">
        <v>-101.21000000000001</v>
      </c>
      <c r="E47"/>
      <c r="G47" s="1391">
        <v>50</v>
      </c>
      <c r="H47" s="1393">
        <v>1</v>
      </c>
      <c r="I47" s="1380">
        <v>7.7927999999999997</v>
      </c>
      <c r="J47"/>
      <c r="L47" s="1391" t="s">
        <v>4542</v>
      </c>
      <c r="M47" s="1393">
        <v>1</v>
      </c>
      <c r="N47" s="1380">
        <v>40.32</v>
      </c>
      <c r="O47"/>
    </row>
    <row r="48" spans="2:15" ht="13.8" x14ac:dyDescent="0.25">
      <c r="B48" s="1391" t="s">
        <v>1207</v>
      </c>
      <c r="C48" s="1393">
        <v>0.83333333333333337</v>
      </c>
      <c r="D48" s="1380">
        <v>-135.82000000000005</v>
      </c>
      <c r="E48"/>
      <c r="G48" s="1391">
        <v>15.066348655680832</v>
      </c>
      <c r="H48" s="1393">
        <v>1</v>
      </c>
      <c r="I48" s="1380">
        <v>38.36</v>
      </c>
      <c r="J48"/>
      <c r="L48" s="1391" t="s">
        <v>4544</v>
      </c>
      <c r="M48" s="1393">
        <v>1</v>
      </c>
      <c r="N48" s="1380">
        <v>39.79</v>
      </c>
      <c r="O48"/>
    </row>
    <row r="49" spans="2:15" ht="13.8" x14ac:dyDescent="0.25">
      <c r="B49" s="1391" t="s">
        <v>3023</v>
      </c>
      <c r="C49" s="1393">
        <v>0.8</v>
      </c>
      <c r="D49" s="1380">
        <v>-232.93000000000006</v>
      </c>
      <c r="E49"/>
      <c r="G49" s="1391">
        <v>31</v>
      </c>
      <c r="H49" s="1393">
        <v>0</v>
      </c>
      <c r="I49" s="1380">
        <v>-399.96</v>
      </c>
      <c r="J49"/>
      <c r="L49" s="1391" t="s">
        <v>4545</v>
      </c>
      <c r="M49" s="1393">
        <v>1</v>
      </c>
      <c r="N49" s="1380">
        <v>38.770000000000003</v>
      </c>
      <c r="O49"/>
    </row>
    <row r="50" spans="2:15" ht="13.8" x14ac:dyDescent="0.25">
      <c r="B50" s="1391" t="s">
        <v>2787</v>
      </c>
      <c r="C50" s="1393">
        <v>0.75</v>
      </c>
      <c r="D50" s="1380">
        <v>-308.86</v>
      </c>
      <c r="E50"/>
      <c r="G50" s="1391">
        <v>8.2190371887053004</v>
      </c>
      <c r="H50" s="1393">
        <v>1</v>
      </c>
      <c r="I50" s="1380">
        <v>55.57</v>
      </c>
      <c r="J50"/>
      <c r="L50" s="1391" t="s">
        <v>4546</v>
      </c>
      <c r="M50" s="1393">
        <v>1</v>
      </c>
      <c r="N50" s="1380">
        <v>37.07</v>
      </c>
      <c r="O50"/>
    </row>
    <row r="51" spans="2:15" ht="13.8" x14ac:dyDescent="0.25">
      <c r="B51" s="1391" t="s">
        <v>2128</v>
      </c>
      <c r="C51" s="1393">
        <v>0.75</v>
      </c>
      <c r="D51" s="1380">
        <v>-312.54000000000002</v>
      </c>
      <c r="E51"/>
      <c r="G51" s="1391">
        <v>10.525</v>
      </c>
      <c r="H51" s="1393">
        <v>1</v>
      </c>
      <c r="I51" s="1380">
        <v>40.11</v>
      </c>
      <c r="J51"/>
      <c r="L51" s="1391" t="s">
        <v>1249</v>
      </c>
      <c r="M51" s="1393">
        <v>1</v>
      </c>
      <c r="N51" s="1380">
        <v>36.29</v>
      </c>
      <c r="O51"/>
    </row>
    <row r="52" spans="2:15" ht="13.8" x14ac:dyDescent="0.25">
      <c r="B52" s="1391" t="s">
        <v>1205</v>
      </c>
      <c r="C52" s="1393">
        <v>0.5</v>
      </c>
      <c r="D52" s="1380">
        <v>-328.89</v>
      </c>
      <c r="E52"/>
      <c r="G52" s="1391" t="s">
        <v>267</v>
      </c>
      <c r="H52" s="1393">
        <v>0.92307692307692313</v>
      </c>
      <c r="I52" s="1380">
        <v>2486.1264499999993</v>
      </c>
      <c r="J52"/>
      <c r="L52" s="1391" t="s">
        <v>4547</v>
      </c>
      <c r="M52" s="1393">
        <v>1</v>
      </c>
      <c r="N52" s="1380">
        <v>36.130000000000003</v>
      </c>
      <c r="O52"/>
    </row>
    <row r="53" spans="2:15" ht="13.8" x14ac:dyDescent="0.25">
      <c r="B53" s="1391" t="s">
        <v>1438</v>
      </c>
      <c r="C53" s="1393">
        <v>0.5</v>
      </c>
      <c r="D53" s="1380">
        <v>-371.33000000000004</v>
      </c>
      <c r="E53"/>
      <c r="G53"/>
      <c r="H53"/>
      <c r="I53"/>
      <c r="J53"/>
      <c r="L53" s="1391" t="s">
        <v>4548</v>
      </c>
      <c r="M53" s="1393">
        <v>1</v>
      </c>
      <c r="N53" s="1380">
        <v>33.85</v>
      </c>
      <c r="O53"/>
    </row>
    <row r="54" spans="2:15" ht="13.8" x14ac:dyDescent="0.25">
      <c r="B54" s="1391" t="s">
        <v>3633</v>
      </c>
      <c r="C54" s="1393">
        <v>0</v>
      </c>
      <c r="D54" s="1380">
        <v>-399.96</v>
      </c>
      <c r="G54"/>
      <c r="H54"/>
      <c r="I54"/>
      <c r="J54"/>
      <c r="L54" s="1391" t="s">
        <v>4549</v>
      </c>
      <c r="M54" s="1393">
        <v>1</v>
      </c>
      <c r="N54" s="1380">
        <v>33.619999999999997</v>
      </c>
      <c r="O54"/>
    </row>
    <row r="55" spans="2:15" ht="13.8" x14ac:dyDescent="0.25">
      <c r="B55" s="1391" t="s">
        <v>1357</v>
      </c>
      <c r="C55" s="1393">
        <v>1</v>
      </c>
      <c r="D55" s="1380">
        <v>36.729999999999997</v>
      </c>
      <c r="G55"/>
      <c r="H55"/>
      <c r="I55"/>
      <c r="J55"/>
      <c r="L55" s="1391" t="s">
        <v>3026</v>
      </c>
      <c r="M55" s="1393">
        <v>1</v>
      </c>
      <c r="N55" s="1380">
        <v>33.08</v>
      </c>
      <c r="O55"/>
    </row>
    <row r="56" spans="2:15" ht="13.8" x14ac:dyDescent="0.25">
      <c r="B56" s="1391" t="s">
        <v>1359</v>
      </c>
      <c r="C56" s="1393">
        <v>1</v>
      </c>
      <c r="D56" s="1380">
        <v>36.729999999999997</v>
      </c>
      <c r="G56"/>
      <c r="H56"/>
      <c r="I56"/>
      <c r="J56"/>
      <c r="L56" s="1391" t="s">
        <v>1228</v>
      </c>
      <c r="M56" s="1393">
        <v>1</v>
      </c>
      <c r="N56" s="1380">
        <v>32.54</v>
      </c>
      <c r="O56"/>
    </row>
    <row r="57" spans="2:15" ht="13.8" x14ac:dyDescent="0.25">
      <c r="B57" s="1391" t="s">
        <v>1576</v>
      </c>
      <c r="C57" s="1393">
        <v>1</v>
      </c>
      <c r="D57" s="1380">
        <v>336.94000000000005</v>
      </c>
      <c r="G57"/>
      <c r="H57"/>
      <c r="I57"/>
      <c r="J57"/>
      <c r="L57" s="1391" t="s">
        <v>4550</v>
      </c>
      <c r="M57" s="1393">
        <v>1</v>
      </c>
      <c r="N57" s="1380">
        <v>31.83</v>
      </c>
      <c r="O57"/>
    </row>
    <row r="58" spans="2:15" ht="13.8" x14ac:dyDescent="0.25">
      <c r="B58" s="1391" t="s">
        <v>1359</v>
      </c>
      <c r="C58" s="1393">
        <v>1</v>
      </c>
      <c r="D58" s="1380">
        <v>166.35</v>
      </c>
      <c r="E58"/>
      <c r="G58"/>
      <c r="H58"/>
      <c r="I58"/>
      <c r="J58"/>
      <c r="L58" s="1391" t="s">
        <v>4551</v>
      </c>
      <c r="M58" s="1393">
        <v>1</v>
      </c>
      <c r="N58" s="1380">
        <v>31.83</v>
      </c>
      <c r="O58"/>
    </row>
    <row r="59" spans="2:15" ht="13.8" x14ac:dyDescent="0.25">
      <c r="B59" s="1391" t="s">
        <v>1210</v>
      </c>
      <c r="C59" s="1393">
        <v>1</v>
      </c>
      <c r="D59" s="1380">
        <v>63.59</v>
      </c>
      <c r="E59"/>
      <c r="G59"/>
      <c r="H59"/>
      <c r="I59"/>
      <c r="J59"/>
      <c r="L59" s="1391" t="s">
        <v>4552</v>
      </c>
      <c r="M59" s="1393">
        <v>1</v>
      </c>
      <c r="N59" s="1380">
        <v>31.553199999999997</v>
      </c>
      <c r="O59"/>
    </row>
    <row r="60" spans="2:15" ht="13.8" x14ac:dyDescent="0.25">
      <c r="B60" s="1391" t="s">
        <v>1200</v>
      </c>
      <c r="C60" s="1393">
        <v>1</v>
      </c>
      <c r="D60" s="1380">
        <v>40.32</v>
      </c>
      <c r="E60"/>
      <c r="G60"/>
      <c r="H60"/>
      <c r="I60"/>
      <c r="J60"/>
      <c r="L60" s="1391" t="s">
        <v>4553</v>
      </c>
      <c r="M60" s="1393">
        <v>1</v>
      </c>
      <c r="N60" s="1380">
        <v>30.56</v>
      </c>
      <c r="O60"/>
    </row>
    <row r="61" spans="2:15" ht="13.8" x14ac:dyDescent="0.25">
      <c r="B61" s="1391" t="s">
        <v>2008</v>
      </c>
      <c r="C61" s="1393">
        <v>1</v>
      </c>
      <c r="D61" s="1380">
        <v>36.29</v>
      </c>
      <c r="E61"/>
      <c r="G61"/>
      <c r="H61"/>
      <c r="I61"/>
      <c r="J61"/>
      <c r="L61" s="1391" t="s">
        <v>4554</v>
      </c>
      <c r="M61" s="1393">
        <v>1</v>
      </c>
      <c r="N61" s="1380">
        <v>28.65</v>
      </c>
      <c r="O61"/>
    </row>
    <row r="62" spans="2:15" ht="13.8" x14ac:dyDescent="0.25">
      <c r="B62" s="1391" t="s">
        <v>1207</v>
      </c>
      <c r="C62" s="1393">
        <v>1</v>
      </c>
      <c r="D62" s="1380">
        <v>30.39</v>
      </c>
      <c r="E62"/>
      <c r="G62"/>
      <c r="H62"/>
      <c r="I62"/>
      <c r="J62"/>
      <c r="L62" s="1391" t="s">
        <v>3599</v>
      </c>
      <c r="M62" s="1393">
        <v>1</v>
      </c>
      <c r="N62" s="1380">
        <v>26.82</v>
      </c>
      <c r="O62"/>
    </row>
    <row r="63" spans="2:15" ht="13.8" x14ac:dyDescent="0.25">
      <c r="B63" s="1391" t="s">
        <v>3350</v>
      </c>
      <c r="C63" s="1393">
        <v>1</v>
      </c>
      <c r="D63" s="1380">
        <v>639.3614</v>
      </c>
      <c r="E63"/>
      <c r="G63"/>
      <c r="H63"/>
      <c r="I63"/>
      <c r="J63"/>
      <c r="L63" s="1391" t="s">
        <v>1560</v>
      </c>
      <c r="M63" s="1393">
        <v>1</v>
      </c>
      <c r="N63" s="1380">
        <v>24.92</v>
      </c>
      <c r="O63"/>
    </row>
    <row r="64" spans="2:15" ht="13.8" x14ac:dyDescent="0.25">
      <c r="B64" s="1391" t="s">
        <v>3291</v>
      </c>
      <c r="C64" s="1393">
        <v>1</v>
      </c>
      <c r="D64" s="1380">
        <v>639.3614</v>
      </c>
      <c r="E64"/>
      <c r="G64"/>
      <c r="H64"/>
      <c r="I64"/>
      <c r="J64"/>
      <c r="L64" s="1391" t="s">
        <v>4555</v>
      </c>
      <c r="M64" s="1393">
        <v>1</v>
      </c>
      <c r="N64" s="1380">
        <v>24.64</v>
      </c>
      <c r="O64"/>
    </row>
    <row r="65" spans="2:15" ht="13.8" x14ac:dyDescent="0.25">
      <c r="B65" s="1391" t="s">
        <v>3743</v>
      </c>
      <c r="C65" s="1393">
        <v>1</v>
      </c>
      <c r="D65" s="1380">
        <v>28.3</v>
      </c>
      <c r="E65"/>
      <c r="G65"/>
      <c r="H65"/>
      <c r="I65"/>
      <c r="J65"/>
      <c r="L65" s="1391" t="s">
        <v>4556</v>
      </c>
      <c r="M65" s="1393">
        <v>1</v>
      </c>
      <c r="N65" s="1380">
        <v>23.34</v>
      </c>
      <c r="O65"/>
    </row>
    <row r="66" spans="2:15" ht="13.8" x14ac:dyDescent="0.25">
      <c r="B66" s="1391" t="s">
        <v>3291</v>
      </c>
      <c r="C66" s="1393">
        <v>1</v>
      </c>
      <c r="D66" s="1380">
        <v>28.3</v>
      </c>
      <c r="E66"/>
      <c r="G66"/>
      <c r="H66"/>
      <c r="I66"/>
      <c r="J66"/>
      <c r="L66" s="1391" t="s">
        <v>1222</v>
      </c>
      <c r="M66" s="1393">
        <v>1</v>
      </c>
      <c r="N66" s="1380">
        <v>17.059999999999999</v>
      </c>
      <c r="O66"/>
    </row>
    <row r="67" spans="2:15" ht="13.8" x14ac:dyDescent="0.25">
      <c r="B67" s="1391" t="s">
        <v>267</v>
      </c>
      <c r="C67" s="1393">
        <v>0.92307692307692313</v>
      </c>
      <c r="D67" s="1380">
        <v>2486.1264499999984</v>
      </c>
      <c r="E67"/>
      <c r="G67"/>
      <c r="H67"/>
      <c r="I67"/>
      <c r="J67"/>
      <c r="L67" s="1391" t="s">
        <v>4557</v>
      </c>
      <c r="M67" s="1393">
        <v>1</v>
      </c>
      <c r="N67" s="1380">
        <v>17.059999999999999</v>
      </c>
      <c r="O67"/>
    </row>
    <row r="68" spans="2:15" ht="13.8" x14ac:dyDescent="0.25">
      <c r="B68"/>
      <c r="C68"/>
      <c r="D68"/>
      <c r="E68"/>
      <c r="G68"/>
      <c r="H68"/>
      <c r="I68"/>
      <c r="J68"/>
      <c r="L68" s="1391" t="s">
        <v>1227</v>
      </c>
      <c r="M68" s="1393">
        <v>1</v>
      </c>
      <c r="N68" s="1380">
        <v>16.73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391" t="s">
        <v>4558</v>
      </c>
      <c r="M69" s="1393">
        <v>1</v>
      </c>
      <c r="N69" s="1380">
        <v>16.61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391" t="s">
        <v>4561</v>
      </c>
      <c r="M70" s="1393">
        <v>0.83333333333333337</v>
      </c>
      <c r="N70" s="1380">
        <v>15.229950000000017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391" t="s">
        <v>1224</v>
      </c>
      <c r="M71" s="1393">
        <v>1</v>
      </c>
      <c r="N71" s="1380">
        <v>7.64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391" t="s">
        <v>1223</v>
      </c>
      <c r="M72" s="1393">
        <v>1</v>
      </c>
      <c r="N72" s="1380">
        <v>6.82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391" t="s">
        <v>4559</v>
      </c>
      <c r="M73" s="1393">
        <v>1</v>
      </c>
      <c r="N73" s="1380">
        <v>5.0199999999999996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391" t="s">
        <v>4560</v>
      </c>
      <c r="M74" s="1393">
        <v>0</v>
      </c>
      <c r="N74" s="1380">
        <v>-1.04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391" t="s">
        <v>4562</v>
      </c>
      <c r="M75" s="1393">
        <v>0</v>
      </c>
      <c r="N75" s="1380">
        <v>-72.17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391" t="s">
        <v>1556</v>
      </c>
      <c r="M76" s="1393">
        <v>0.8</v>
      </c>
      <c r="N76" s="1380">
        <v>-92.510149999999996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391" t="s">
        <v>1388</v>
      </c>
      <c r="M77" s="1393">
        <v>0.75</v>
      </c>
      <c r="N77" s="1380">
        <v>-268.43305000000004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391" t="s">
        <v>4563</v>
      </c>
      <c r="M78" s="1393">
        <v>0.5</v>
      </c>
      <c r="N78" s="1380">
        <v>-272.19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391" t="s">
        <v>4564</v>
      </c>
      <c r="M79" s="1393">
        <v>0.5</v>
      </c>
      <c r="N79" s="1380">
        <v>-355.99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391" t="s">
        <v>4474</v>
      </c>
      <c r="M80" s="1393">
        <v>0</v>
      </c>
      <c r="N80" s="1380">
        <v>-365.02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391" t="s">
        <v>4565</v>
      </c>
      <c r="M81" s="1393">
        <v>0</v>
      </c>
      <c r="N81" s="1380">
        <v>-399.96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391" t="s">
        <v>4154</v>
      </c>
      <c r="M82" s="1393">
        <v>0</v>
      </c>
      <c r="N82" s="1380">
        <v>-399.98</v>
      </c>
      <c r="O82"/>
    </row>
    <row r="83" spans="2:15" ht="13.8" x14ac:dyDescent="0.25">
      <c r="B83"/>
      <c r="C83"/>
      <c r="G83"/>
      <c r="H83"/>
      <c r="I83"/>
      <c r="J83"/>
      <c r="L83" s="1391" t="s">
        <v>4566</v>
      </c>
      <c r="M83" s="1393">
        <v>0</v>
      </c>
      <c r="N83" s="1380">
        <v>-425.04</v>
      </c>
      <c r="O83"/>
    </row>
    <row r="84" spans="2:15" ht="13.8" x14ac:dyDescent="0.25">
      <c r="B84"/>
      <c r="C84"/>
      <c r="G84"/>
      <c r="H84"/>
      <c r="I84"/>
      <c r="J84"/>
      <c r="L84" s="1391" t="s">
        <v>1576</v>
      </c>
      <c r="M84" s="1393">
        <v>1</v>
      </c>
      <c r="N84" s="1380">
        <v>336.93999999999994</v>
      </c>
      <c r="O84"/>
    </row>
    <row r="85" spans="2:15" ht="13.8" x14ac:dyDescent="0.25">
      <c r="B85"/>
      <c r="C85"/>
      <c r="G85"/>
      <c r="H85"/>
      <c r="I85"/>
      <c r="J85"/>
      <c r="L85" s="1391" t="s">
        <v>1534</v>
      </c>
      <c r="M85" s="1393">
        <v>1</v>
      </c>
      <c r="N85" s="1380">
        <v>78.84</v>
      </c>
      <c r="O85"/>
    </row>
    <row r="86" spans="2:15" ht="13.8" x14ac:dyDescent="0.25">
      <c r="B86"/>
      <c r="C86"/>
      <c r="G86"/>
      <c r="H86"/>
      <c r="I86"/>
      <c r="J86"/>
      <c r="L86" s="1391" t="s">
        <v>4567</v>
      </c>
      <c r="M86" s="1393">
        <v>1</v>
      </c>
      <c r="N86" s="1380">
        <v>44.96</v>
      </c>
      <c r="O86"/>
    </row>
    <row r="87" spans="2:15" ht="13.8" x14ac:dyDescent="0.25">
      <c r="B87"/>
      <c r="C87"/>
      <c r="G87"/>
      <c r="H87"/>
      <c r="I87"/>
      <c r="J87"/>
      <c r="L87" s="1391" t="s">
        <v>4520</v>
      </c>
      <c r="M87" s="1393">
        <v>1</v>
      </c>
      <c r="N87" s="1380">
        <v>42.55</v>
      </c>
      <c r="O87"/>
    </row>
    <row r="88" spans="2:15" ht="13.8" x14ac:dyDescent="0.25">
      <c r="B88"/>
      <c r="C88"/>
      <c r="G88"/>
      <c r="H88"/>
      <c r="I88"/>
      <c r="J88"/>
      <c r="L88" s="1391" t="s">
        <v>2621</v>
      </c>
      <c r="M88" s="1393">
        <v>1</v>
      </c>
      <c r="N88" s="1380">
        <v>40.32</v>
      </c>
      <c r="O88"/>
    </row>
    <row r="89" spans="2:15" ht="13.8" x14ac:dyDescent="0.25">
      <c r="B89"/>
      <c r="C89"/>
      <c r="G89"/>
      <c r="H89"/>
      <c r="I89"/>
      <c r="J89"/>
      <c r="L89" s="1391" t="s">
        <v>4568</v>
      </c>
      <c r="M89" s="1393">
        <v>1</v>
      </c>
      <c r="N89" s="1380">
        <v>36.29</v>
      </c>
      <c r="O89"/>
    </row>
    <row r="90" spans="2:15" ht="13.8" x14ac:dyDescent="0.25">
      <c r="B90"/>
      <c r="C90"/>
      <c r="G90"/>
      <c r="H90"/>
      <c r="I90"/>
      <c r="J90"/>
      <c r="L90" s="1391" t="s">
        <v>4569</v>
      </c>
      <c r="M90" s="1393">
        <v>1</v>
      </c>
      <c r="N90" s="1380">
        <v>34.56</v>
      </c>
      <c r="O90"/>
    </row>
    <row r="91" spans="2:15" ht="13.8" x14ac:dyDescent="0.25">
      <c r="B91"/>
      <c r="C91"/>
      <c r="G91"/>
      <c r="H91"/>
      <c r="I91"/>
      <c r="J91"/>
      <c r="L91" s="1391" t="s">
        <v>4525</v>
      </c>
      <c r="M91" s="1393">
        <v>1</v>
      </c>
      <c r="N91" s="1380">
        <v>30.39</v>
      </c>
      <c r="O91"/>
    </row>
    <row r="92" spans="2:15" ht="13.8" x14ac:dyDescent="0.25">
      <c r="B92"/>
      <c r="C92"/>
      <c r="G92"/>
      <c r="H92"/>
      <c r="I92"/>
      <c r="J92"/>
      <c r="L92" s="1391" t="s">
        <v>4570</v>
      </c>
      <c r="M92" s="1393">
        <v>1</v>
      </c>
      <c r="N92" s="1380">
        <v>29.03</v>
      </c>
      <c r="O92"/>
    </row>
    <row r="93" spans="2:15" ht="13.8" x14ac:dyDescent="0.25">
      <c r="B93"/>
      <c r="C93"/>
      <c r="G93"/>
      <c r="H93"/>
      <c r="I93"/>
      <c r="J93"/>
      <c r="L93" s="1391" t="s">
        <v>267</v>
      </c>
      <c r="M93" s="1393">
        <v>0.91874999999999996</v>
      </c>
      <c r="N93" s="1380">
        <v>1661.7018999999996</v>
      </c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 x14ac:dyDescent="0.25">
      <c r="B2" s="1389" t="s">
        <v>72</v>
      </c>
      <c r="C2" s="1390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 x14ac:dyDescent="0.25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 x14ac:dyDescent="0.25">
      <c r="B4" s="1389" t="s">
        <v>266</v>
      </c>
      <c r="C4" s="1390" t="s">
        <v>1231</v>
      </c>
      <c r="D4" s="1390" t="s">
        <v>839</v>
      </c>
      <c r="E4"/>
      <c r="G4" s="1377"/>
      <c r="H4" s="1377" t="s">
        <v>499</v>
      </c>
      <c r="I4" s="1377"/>
      <c r="J4" s="1377"/>
      <c r="K4"/>
      <c r="L4" s="1377" t="s">
        <v>266</v>
      </c>
      <c r="M4" s="1377" t="s">
        <v>3972</v>
      </c>
      <c r="N4" s="1377" t="s">
        <v>839</v>
      </c>
      <c r="O4"/>
    </row>
    <row r="5" spans="2:128" ht="13.8" x14ac:dyDescent="0.25">
      <c r="B5" s="1391" t="s">
        <v>1199</v>
      </c>
      <c r="C5" s="1393">
        <v>0.83333333333333337</v>
      </c>
      <c r="D5" s="1380">
        <v>-0.16503172726249163</v>
      </c>
      <c r="E5"/>
      <c r="G5" s="1377"/>
      <c r="H5" s="1377" t="s">
        <v>626</v>
      </c>
      <c r="I5" s="1377"/>
      <c r="J5" s="1377"/>
      <c r="K5"/>
      <c r="L5" s="1395">
        <v>9.8000000000000007</v>
      </c>
      <c r="M5" s="1379">
        <v>1</v>
      </c>
      <c r="N5" s="1379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391" t="s">
        <v>1210</v>
      </c>
      <c r="C6" s="1393">
        <v>0.83333333333333337</v>
      </c>
      <c r="D6" s="1380">
        <v>0.17565935333952246</v>
      </c>
      <c r="E6"/>
      <c r="G6" s="1377" t="s">
        <v>266</v>
      </c>
      <c r="H6" s="1377" t="s">
        <v>1232</v>
      </c>
      <c r="I6" s="1377" t="s">
        <v>1231</v>
      </c>
      <c r="J6" s="1377" t="s">
        <v>839</v>
      </c>
      <c r="K6"/>
      <c r="L6" s="1395">
        <v>11</v>
      </c>
      <c r="M6" s="1379">
        <v>2</v>
      </c>
      <c r="N6" s="1379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391" t="s">
        <v>1211</v>
      </c>
      <c r="C7" s="1393">
        <v>1</v>
      </c>
      <c r="D7" s="1380">
        <v>4.3413892445582587E-2</v>
      </c>
      <c r="E7"/>
      <c r="G7" s="1394" t="s">
        <v>4107</v>
      </c>
      <c r="H7" s="1379">
        <v>17</v>
      </c>
      <c r="I7" s="1396">
        <v>1</v>
      </c>
      <c r="J7" s="1379">
        <v>5.9701492537313432E-2</v>
      </c>
      <c r="K7"/>
      <c r="L7" s="1395">
        <v>12.5</v>
      </c>
      <c r="M7" s="1379">
        <v>1</v>
      </c>
      <c r="N7" s="1379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391" t="s">
        <v>1209</v>
      </c>
      <c r="C8" s="1393">
        <v>0.8</v>
      </c>
      <c r="D8" s="1380">
        <v>0.1299090077896633</v>
      </c>
      <c r="E8"/>
      <c r="G8" s="1394" t="s">
        <v>4108</v>
      </c>
      <c r="H8" s="1379">
        <v>21</v>
      </c>
      <c r="I8" s="1396">
        <v>0.5</v>
      </c>
      <c r="J8" s="1379">
        <v>-0.4312185606521009</v>
      </c>
      <c r="K8"/>
      <c r="L8" s="1395">
        <v>13.5</v>
      </c>
      <c r="M8" s="1379">
        <v>3</v>
      </c>
      <c r="N8" s="1379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391" t="s">
        <v>1218</v>
      </c>
      <c r="C9" s="1393">
        <v>0.5</v>
      </c>
      <c r="D9" s="1380">
        <v>-4.3495555649665681E-2</v>
      </c>
      <c r="E9"/>
      <c r="G9" s="1394" t="s">
        <v>4109</v>
      </c>
      <c r="H9" s="1379">
        <v>15</v>
      </c>
      <c r="I9" s="1396">
        <v>1</v>
      </c>
      <c r="J9" s="1379">
        <v>6.8214285714285713E-2</v>
      </c>
      <c r="K9"/>
      <c r="L9" s="1395">
        <v>14</v>
      </c>
      <c r="M9" s="1379">
        <v>3</v>
      </c>
      <c r="N9" s="1379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391" t="s">
        <v>1217</v>
      </c>
      <c r="C10" s="1393">
        <v>1</v>
      </c>
      <c r="D10" s="1380">
        <v>3.6742363665440585E-2</v>
      </c>
      <c r="E10"/>
      <c r="G10" s="1394" t="s">
        <v>4110</v>
      </c>
      <c r="H10" s="1379">
        <v>21</v>
      </c>
      <c r="I10" s="1396">
        <v>1</v>
      </c>
      <c r="J10" s="1379">
        <v>4.7750000000000001E-2</v>
      </c>
      <c r="K10"/>
      <c r="L10" s="1395">
        <v>14.5</v>
      </c>
      <c r="M10" s="1379">
        <v>1</v>
      </c>
      <c r="N10" s="1379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391" t="s">
        <v>1201</v>
      </c>
      <c r="C11" s="1393">
        <v>0.75</v>
      </c>
      <c r="D11" s="1380">
        <v>-0.23308441012304315</v>
      </c>
      <c r="E11"/>
      <c r="G11" s="1394" t="s">
        <v>1246</v>
      </c>
      <c r="H11" s="1379">
        <v>21</v>
      </c>
      <c r="I11" s="1396">
        <v>1</v>
      </c>
      <c r="J11" s="1379">
        <v>4.7750000000000001E-2</v>
      </c>
      <c r="K11"/>
      <c r="L11" s="1395">
        <v>15</v>
      </c>
      <c r="M11" s="1379">
        <v>2</v>
      </c>
      <c r="N11" s="1379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391" t="s">
        <v>1213</v>
      </c>
      <c r="C12" s="1393">
        <v>1</v>
      </c>
      <c r="D12" s="1380">
        <v>0.11792173913043479</v>
      </c>
      <c r="E12"/>
      <c r="G12" s="1394" t="s">
        <v>4111</v>
      </c>
      <c r="H12" s="1379">
        <v>20.5</v>
      </c>
      <c r="I12" s="1396">
        <v>1</v>
      </c>
      <c r="J12" s="1379">
        <v>9.7988376226910895E-2</v>
      </c>
      <c r="K12"/>
      <c r="L12" s="1395">
        <v>15.5</v>
      </c>
      <c r="M12" s="1379">
        <v>3</v>
      </c>
      <c r="N12" s="1379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391" t="s">
        <v>1207</v>
      </c>
      <c r="C13" s="1393">
        <v>1</v>
      </c>
      <c r="D13" s="1380">
        <v>0.41019433426617496</v>
      </c>
      <c r="E13"/>
      <c r="G13" s="1394" t="s">
        <v>4112</v>
      </c>
      <c r="H13" s="1379">
        <v>25</v>
      </c>
      <c r="I13" s="1396">
        <v>1</v>
      </c>
      <c r="J13" s="1379">
        <v>3.9799999999999995E-2</v>
      </c>
      <c r="K13"/>
      <c r="L13" s="1395">
        <v>16</v>
      </c>
      <c r="M13" s="1379">
        <v>2</v>
      </c>
      <c r="N13" s="1379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391" t="s">
        <v>1204</v>
      </c>
      <c r="C14" s="1393">
        <v>1</v>
      </c>
      <c r="D14" s="1380">
        <v>0.10644694094218135</v>
      </c>
      <c r="E14"/>
      <c r="G14" s="1394" t="s">
        <v>4113</v>
      </c>
      <c r="H14" s="1379">
        <v>24</v>
      </c>
      <c r="I14" s="1396">
        <v>1</v>
      </c>
      <c r="J14" s="1379">
        <v>4.1521739130434776E-2</v>
      </c>
      <c r="K14"/>
      <c r="L14" s="1395">
        <v>16.34048426150121</v>
      </c>
      <c r="M14" s="1379">
        <v>1</v>
      </c>
      <c r="N14" s="1379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391" t="s">
        <v>1197</v>
      </c>
      <c r="C15" s="1393">
        <v>0.66666666666666663</v>
      </c>
      <c r="D15" s="1380">
        <v>-0.89945680977695719</v>
      </c>
      <c r="E15"/>
      <c r="G15" s="1394" t="s">
        <v>1220</v>
      </c>
      <c r="H15" s="1379">
        <v>15.5</v>
      </c>
      <c r="I15" s="1396">
        <v>1</v>
      </c>
      <c r="J15" s="1379">
        <v>6.5845267621409714E-2</v>
      </c>
      <c r="K15"/>
      <c r="L15" s="1395">
        <v>16.5</v>
      </c>
      <c r="M15" s="1379">
        <v>3</v>
      </c>
      <c r="N15" s="1379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391" t="s">
        <v>1200</v>
      </c>
      <c r="C16" s="1393">
        <v>0.75</v>
      </c>
      <c r="D16" s="1380">
        <v>-0.81564678159958848</v>
      </c>
      <c r="E16"/>
      <c r="G16" s="1394" t="s">
        <v>4417</v>
      </c>
      <c r="H16" s="1379">
        <v>30</v>
      </c>
      <c r="I16" s="1396">
        <v>1</v>
      </c>
      <c r="J16" s="1379">
        <v>3.2938178167355288E-2</v>
      </c>
      <c r="K16"/>
      <c r="L16" s="1395">
        <v>17</v>
      </c>
      <c r="M16" s="1379">
        <v>5</v>
      </c>
      <c r="N16" s="1379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391" t="s">
        <v>1205</v>
      </c>
      <c r="C17" s="1393">
        <v>1</v>
      </c>
      <c r="D17" s="1380">
        <v>5.4540605414055206E-2</v>
      </c>
      <c r="E17"/>
      <c r="G17" s="1394" t="s">
        <v>4114</v>
      </c>
      <c r="H17" s="1379">
        <v>25</v>
      </c>
      <c r="I17" s="1396">
        <v>1</v>
      </c>
      <c r="J17" s="1379">
        <v>3.9799999999999995E-2</v>
      </c>
      <c r="K17"/>
      <c r="L17" s="1395">
        <v>17.5</v>
      </c>
      <c r="M17" s="1379">
        <v>1</v>
      </c>
      <c r="N17" s="1379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391" t="s">
        <v>1215</v>
      </c>
      <c r="C18" s="1393">
        <v>1</v>
      </c>
      <c r="D18" s="1380">
        <v>3.9799999999999995E-2</v>
      </c>
      <c r="E18"/>
      <c r="G18" s="1394" t="s">
        <v>4115</v>
      </c>
      <c r="H18" s="1379">
        <v>23</v>
      </c>
      <c r="I18" s="1396">
        <v>1</v>
      </c>
      <c r="J18" s="1379">
        <v>4.3407679277244489E-2</v>
      </c>
      <c r="K18"/>
      <c r="L18" s="1395">
        <v>18</v>
      </c>
      <c r="M18" s="1379">
        <v>4</v>
      </c>
      <c r="N18" s="1379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391" t="s">
        <v>1206</v>
      </c>
      <c r="C19" s="1393">
        <v>1</v>
      </c>
      <c r="D19" s="1380">
        <v>0.19436153593531094</v>
      </c>
      <c r="E19"/>
      <c r="G19" s="1394" t="s">
        <v>4116</v>
      </c>
      <c r="H19" s="1379">
        <v>18</v>
      </c>
      <c r="I19" s="1396">
        <v>1</v>
      </c>
      <c r="J19" s="1379">
        <v>5.6176470588235293E-2</v>
      </c>
      <c r="K19"/>
      <c r="L19" s="1395">
        <v>18.5</v>
      </c>
      <c r="M19" s="1379">
        <v>4</v>
      </c>
      <c r="N19" s="1379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391" t="s">
        <v>1202</v>
      </c>
      <c r="C20" s="1393">
        <v>1</v>
      </c>
      <c r="D20" s="1380">
        <v>3.9799999999999995E-2</v>
      </c>
      <c r="E20"/>
      <c r="G20" s="1394" t="s">
        <v>2621</v>
      </c>
      <c r="H20" s="1379">
        <v>13.5</v>
      </c>
      <c r="I20" s="1396">
        <v>0</v>
      </c>
      <c r="J20" s="1379">
        <v>-1</v>
      </c>
      <c r="K20"/>
      <c r="L20" s="1395">
        <v>19</v>
      </c>
      <c r="M20" s="1379">
        <v>4</v>
      </c>
      <c r="N20" s="1379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391" t="s">
        <v>1203</v>
      </c>
      <c r="C21" s="1393">
        <v>1</v>
      </c>
      <c r="D21" s="1380">
        <v>4.401381229706746E-2</v>
      </c>
      <c r="E21"/>
      <c r="G21" s="1394" t="s">
        <v>4117</v>
      </c>
      <c r="H21" s="1379">
        <v>17</v>
      </c>
      <c r="I21" s="1396">
        <v>0</v>
      </c>
      <c r="J21" s="1379">
        <v>-0.10888515674984005</v>
      </c>
      <c r="K21"/>
      <c r="L21" s="1395">
        <v>20</v>
      </c>
      <c r="M21" s="1379">
        <v>9</v>
      </c>
      <c r="N21" s="1379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391" t="s">
        <v>1359</v>
      </c>
      <c r="C22" s="1393">
        <v>1</v>
      </c>
      <c r="D22" s="1380">
        <v>0.45531142898013915</v>
      </c>
      <c r="E22"/>
      <c r="G22" s="1394" t="s">
        <v>4118</v>
      </c>
      <c r="H22" s="1379">
        <v>13.5</v>
      </c>
      <c r="I22" s="1396">
        <v>1</v>
      </c>
      <c r="J22" s="1379">
        <v>7.640000000000001E-2</v>
      </c>
      <c r="K22"/>
      <c r="L22" s="1395">
        <v>21</v>
      </c>
      <c r="M22" s="1379">
        <v>9</v>
      </c>
      <c r="N22" s="1379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391" t="s">
        <v>1438</v>
      </c>
      <c r="C23" s="1393">
        <v>1</v>
      </c>
      <c r="D23" s="1380">
        <v>0.31103421936432646</v>
      </c>
      <c r="E23"/>
      <c r="G23" s="1394" t="s">
        <v>4119</v>
      </c>
      <c r="H23" s="1379">
        <v>22.726846363964338</v>
      </c>
      <c r="I23" s="1396">
        <v>1</v>
      </c>
      <c r="J23" s="1379">
        <v>4.401381229706746E-2</v>
      </c>
      <c r="K23"/>
      <c r="L23" s="1395">
        <v>22</v>
      </c>
      <c r="M23" s="1379">
        <v>3</v>
      </c>
      <c r="N23" s="1379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391" t="s">
        <v>2128</v>
      </c>
      <c r="C24" s="1393">
        <v>1</v>
      </c>
      <c r="D24" s="1380">
        <v>7.3455049894840474E-2</v>
      </c>
      <c r="E24"/>
      <c r="G24" s="1394" t="s">
        <v>1222</v>
      </c>
      <c r="H24" s="1379">
        <v>20.25</v>
      </c>
      <c r="I24" s="1396">
        <v>1</v>
      </c>
      <c r="J24" s="1379">
        <v>0.10128793864734323</v>
      </c>
      <c r="K24"/>
      <c r="L24" s="1395">
        <v>22.726846363964338</v>
      </c>
      <c r="M24" s="1379">
        <v>1</v>
      </c>
      <c r="N24" s="1379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391" t="s">
        <v>2406</v>
      </c>
      <c r="C25" s="1393">
        <v>1</v>
      </c>
      <c r="D25" s="1380">
        <v>0.16487394593710383</v>
      </c>
      <c r="E25"/>
      <c r="G25" s="1394" t="s">
        <v>4467</v>
      </c>
      <c r="H25" s="1379">
        <v>21</v>
      </c>
      <c r="I25" s="1396">
        <v>1</v>
      </c>
      <c r="J25" s="1379">
        <v>4.7740384615384615E-2</v>
      </c>
      <c r="K25"/>
      <c r="L25" s="1395">
        <v>23</v>
      </c>
      <c r="M25" s="1379">
        <v>9</v>
      </c>
      <c r="N25" s="1379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391" t="s">
        <v>2919</v>
      </c>
      <c r="C26" s="1393">
        <v>1</v>
      </c>
      <c r="D26" s="1380">
        <v>4.7750000000000001E-2</v>
      </c>
      <c r="E26"/>
      <c r="G26" s="1394" t="s">
        <v>4120</v>
      </c>
      <c r="H26" s="1379">
        <v>28</v>
      </c>
      <c r="I26" s="1396">
        <v>0</v>
      </c>
      <c r="J26" s="1379">
        <v>-6.6680378445084329E-2</v>
      </c>
      <c r="K26"/>
      <c r="L26" s="1395">
        <v>24</v>
      </c>
      <c r="M26" s="1379">
        <v>6</v>
      </c>
      <c r="N26" s="1379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391" t="s">
        <v>2921</v>
      </c>
      <c r="C27" s="1393">
        <v>1</v>
      </c>
      <c r="D27" s="1380">
        <v>3.2938178167355288E-2</v>
      </c>
      <c r="E27"/>
      <c r="G27" s="1394" t="s">
        <v>4121</v>
      </c>
      <c r="H27" s="1379">
        <v>23</v>
      </c>
      <c r="I27" s="1396">
        <v>1</v>
      </c>
      <c r="J27" s="1379">
        <v>4.3413892445582587E-2</v>
      </c>
      <c r="K27"/>
      <c r="L27" s="1395">
        <v>25</v>
      </c>
      <c r="M27" s="1379">
        <v>4</v>
      </c>
      <c r="N27" s="1379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 s="1391" t="s">
        <v>3023</v>
      </c>
      <c r="C28" s="1393">
        <v>1</v>
      </c>
      <c r="D28" s="1380">
        <v>0.15950350672539951</v>
      </c>
      <c r="E28"/>
      <c r="G28" s="1394" t="s">
        <v>4122</v>
      </c>
      <c r="H28" s="1379">
        <v>18</v>
      </c>
      <c r="I28" s="1396">
        <v>1</v>
      </c>
      <c r="J28" s="1379">
        <v>5.6186926084189473E-2</v>
      </c>
      <c r="K28"/>
      <c r="L28" s="1395">
        <v>26</v>
      </c>
      <c r="M28" s="1379">
        <v>2</v>
      </c>
      <c r="N28" s="1379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 s="1391" t="s">
        <v>3292</v>
      </c>
      <c r="C29" s="1393">
        <v>1</v>
      </c>
      <c r="D29" s="1380">
        <v>3.8195652173913047E-2</v>
      </c>
      <c r="E29"/>
      <c r="G29" s="1394" t="s">
        <v>1224</v>
      </c>
      <c r="H29" s="1379">
        <v>20</v>
      </c>
      <c r="I29" s="1396">
        <v>1</v>
      </c>
      <c r="J29" s="1379">
        <v>5.0260014857991885E-2</v>
      </c>
      <c r="K29"/>
      <c r="L29" s="1395">
        <v>27</v>
      </c>
      <c r="M29" s="1379">
        <v>2</v>
      </c>
      <c r="N29" s="1379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 s="1391" t="s">
        <v>3633</v>
      </c>
      <c r="C30" s="1393">
        <v>1</v>
      </c>
      <c r="D30" s="1380">
        <v>8.4925864538460044E-2</v>
      </c>
      <c r="E30"/>
      <c r="G30" s="1394" t="s">
        <v>4123</v>
      </c>
      <c r="H30" s="1379">
        <v>14</v>
      </c>
      <c r="I30" s="1396">
        <v>1</v>
      </c>
      <c r="J30" s="1379">
        <v>7.3456872417011057E-2</v>
      </c>
      <c r="K30"/>
      <c r="L30" s="1395">
        <v>27.5</v>
      </c>
      <c r="M30" s="1379">
        <v>1</v>
      </c>
      <c r="N30" s="1379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 s="1391" t="s">
        <v>3634</v>
      </c>
      <c r="C31" s="1393">
        <v>1</v>
      </c>
      <c r="D31" s="1380">
        <v>0.12906349682883453</v>
      </c>
      <c r="E31"/>
      <c r="G31" s="1394" t="s">
        <v>4124</v>
      </c>
      <c r="H31" s="1379">
        <v>18</v>
      </c>
      <c r="I31" s="1396">
        <v>1</v>
      </c>
      <c r="J31" s="1379">
        <v>5.6184268404846645E-2</v>
      </c>
      <c r="K31"/>
      <c r="L31" s="1395">
        <v>28</v>
      </c>
      <c r="M31" s="1379">
        <v>1</v>
      </c>
      <c r="N31" s="1379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 s="1391" t="s">
        <v>4464</v>
      </c>
      <c r="C32" s="1393">
        <v>1</v>
      </c>
      <c r="D32" s="1380">
        <v>4.7759036144578312E-2</v>
      </c>
      <c r="G32" s="1394" t="s">
        <v>4125</v>
      </c>
      <c r="H32" s="1379">
        <v>23</v>
      </c>
      <c r="I32" s="1396">
        <v>1</v>
      </c>
      <c r="J32" s="1379">
        <v>4.3409090909090911E-2</v>
      </c>
      <c r="K32"/>
      <c r="L32" s="1395">
        <v>29</v>
      </c>
      <c r="M32" s="1379">
        <v>2</v>
      </c>
      <c r="N32" s="1379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 s="1391" t="s">
        <v>4466</v>
      </c>
      <c r="C33" s="1393">
        <v>1</v>
      </c>
      <c r="D33" s="1380">
        <v>6.8206487441625649E-2</v>
      </c>
      <c r="G33" s="1394" t="s">
        <v>4126</v>
      </c>
      <c r="H33" s="1379">
        <v>27</v>
      </c>
      <c r="I33" s="1396">
        <v>0</v>
      </c>
      <c r="J33" s="1379">
        <v>-0.40886221737285566</v>
      </c>
      <c r="K33"/>
      <c r="L33" s="1395">
        <v>30</v>
      </c>
      <c r="M33" s="1379">
        <v>2</v>
      </c>
      <c r="N33" s="1379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B34" s="1391" t="s">
        <v>3767</v>
      </c>
      <c r="C34" s="1393">
        <v>1</v>
      </c>
      <c r="D34" s="1380">
        <v>0.17917192370800383</v>
      </c>
      <c r="G34" s="1394" t="s">
        <v>4127</v>
      </c>
      <c r="H34" s="1379">
        <v>16.34048426150121</v>
      </c>
      <c r="I34" s="1396">
        <v>1</v>
      </c>
      <c r="J34" s="1379">
        <v>6.2348668280871669E-2</v>
      </c>
      <c r="K34"/>
      <c r="L34" s="1394" t="s">
        <v>267</v>
      </c>
      <c r="M34" s="1379">
        <v>91</v>
      </c>
      <c r="N34" s="1379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B35" s="1391" t="s">
        <v>4571</v>
      </c>
      <c r="C35" s="1393">
        <v>1</v>
      </c>
      <c r="D35" s="1380">
        <v>7.2739012929331978E-2</v>
      </c>
      <c r="G35" s="1394" t="s">
        <v>4128</v>
      </c>
      <c r="H35" s="1379">
        <v>29</v>
      </c>
      <c r="I35" s="1396">
        <v>1</v>
      </c>
      <c r="J35" s="1379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B36" s="1391" t="s">
        <v>267</v>
      </c>
      <c r="C36" s="1393">
        <v>0.91208791208791207</v>
      </c>
      <c r="D36" s="1380">
        <v>1.1010161036475992</v>
      </c>
      <c r="G36" s="1394" t="s">
        <v>4129</v>
      </c>
      <c r="H36" s="1379">
        <v>27</v>
      </c>
      <c r="I36" s="1396">
        <v>1</v>
      </c>
      <c r="J36" s="1379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B37"/>
      <c r="C37"/>
      <c r="D37"/>
      <c r="G37" s="1394" t="s">
        <v>4130</v>
      </c>
      <c r="H37" s="1379">
        <v>22</v>
      </c>
      <c r="I37" s="1396">
        <v>1</v>
      </c>
      <c r="J37" s="1379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394" t="s">
        <v>4131</v>
      </c>
      <c r="H38" s="1379">
        <v>15</v>
      </c>
      <c r="I38" s="1396">
        <v>1</v>
      </c>
      <c r="J38" s="1379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394" t="s">
        <v>1247</v>
      </c>
      <c r="H39" s="1379">
        <v>21</v>
      </c>
      <c r="I39" s="1396">
        <v>1</v>
      </c>
      <c r="J39" s="1379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394" t="s">
        <v>1248</v>
      </c>
      <c r="H40" s="1379">
        <v>19</v>
      </c>
      <c r="I40" s="1396">
        <v>1</v>
      </c>
      <c r="J40" s="1379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394" t="s">
        <v>4132</v>
      </c>
      <c r="H41" s="1379">
        <v>23</v>
      </c>
      <c r="I41" s="1396">
        <v>1</v>
      </c>
      <c r="J41" s="1379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394" t="s">
        <v>4133</v>
      </c>
      <c r="H42" s="1379">
        <v>9.8000000000000007</v>
      </c>
      <c r="I42" s="1396">
        <v>0</v>
      </c>
      <c r="J42" s="1379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394" t="s">
        <v>4134</v>
      </c>
      <c r="H43" s="1379">
        <v>29</v>
      </c>
      <c r="I43" s="1396">
        <v>1</v>
      </c>
      <c r="J43" s="1379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394" t="s">
        <v>4135</v>
      </c>
      <c r="H44" s="1379">
        <v>18.5</v>
      </c>
      <c r="I44" s="1396">
        <v>1</v>
      </c>
      <c r="J44" s="1379">
        <v>5.4540605414055206E-2</v>
      </c>
      <c r="K44"/>
      <c r="L44"/>
      <c r="M44"/>
      <c r="N44"/>
      <c r="O44"/>
    </row>
    <row r="45" spans="2:64" ht="13.8" x14ac:dyDescent="0.25">
      <c r="G45" s="1394" t="s">
        <v>4136</v>
      </c>
      <c r="H45" s="1379">
        <v>17</v>
      </c>
      <c r="I45" s="1396">
        <v>1</v>
      </c>
      <c r="J45" s="1379">
        <v>5.9687499999999998E-2</v>
      </c>
      <c r="K45"/>
      <c r="L45"/>
      <c r="M45"/>
      <c r="N45"/>
      <c r="O45"/>
    </row>
    <row r="46" spans="2:64" ht="13.8" x14ac:dyDescent="0.25">
      <c r="G46" s="1394" t="s">
        <v>4137</v>
      </c>
      <c r="H46" s="1379">
        <v>24</v>
      </c>
      <c r="I46" s="1396">
        <v>1</v>
      </c>
      <c r="J46" s="1379">
        <v>4.1521739130434776E-2</v>
      </c>
      <c r="K46"/>
      <c r="L46"/>
      <c r="M46"/>
      <c r="N46"/>
      <c r="O46"/>
    </row>
    <row r="47" spans="2:64" ht="13.8" x14ac:dyDescent="0.25">
      <c r="G47" s="1394" t="s">
        <v>4138</v>
      </c>
      <c r="H47" s="1379">
        <v>14.5</v>
      </c>
      <c r="I47" s="1396">
        <v>1</v>
      </c>
      <c r="J47" s="1379">
        <v>7.0754339652827777E-2</v>
      </c>
      <c r="K47"/>
      <c r="L47"/>
      <c r="M47"/>
      <c r="N47"/>
      <c r="O47"/>
    </row>
    <row r="48" spans="2:64" ht="13.8" x14ac:dyDescent="0.25">
      <c r="G48" s="1394" t="s">
        <v>4139</v>
      </c>
      <c r="H48" s="1379">
        <v>16.5</v>
      </c>
      <c r="I48" s="1396">
        <v>1</v>
      </c>
      <c r="J48" s="1379">
        <v>6.1614376687893845E-2</v>
      </c>
      <c r="K48"/>
      <c r="L48"/>
      <c r="M48"/>
      <c r="N48"/>
      <c r="O48"/>
    </row>
    <row r="49" spans="7:15" ht="13.8" x14ac:dyDescent="0.25">
      <c r="G49" s="1394" t="s">
        <v>4140</v>
      </c>
      <c r="H49" s="1379">
        <v>23</v>
      </c>
      <c r="I49" s="1396">
        <v>1</v>
      </c>
      <c r="J49" s="1379">
        <v>4.3388429752066117E-2</v>
      </c>
      <c r="K49"/>
      <c r="L49"/>
      <c r="M49"/>
      <c r="N49"/>
      <c r="O49"/>
    </row>
    <row r="50" spans="7:15" ht="13.8" x14ac:dyDescent="0.25">
      <c r="G50" s="1394" t="s">
        <v>4141</v>
      </c>
      <c r="H50" s="1379">
        <v>15.5</v>
      </c>
      <c r="I50" s="1396">
        <v>1</v>
      </c>
      <c r="J50" s="1379">
        <v>0.14577195648696209</v>
      </c>
      <c r="K50"/>
      <c r="L50"/>
      <c r="M50"/>
      <c r="N50"/>
      <c r="O50"/>
    </row>
    <row r="51" spans="7:15" ht="13.8" x14ac:dyDescent="0.25">
      <c r="G51" s="1394" t="s">
        <v>4142</v>
      </c>
      <c r="H51" s="1379">
        <v>19</v>
      </c>
      <c r="I51" s="1396">
        <v>0</v>
      </c>
      <c r="J51" s="1379">
        <v>-9.9672026237900974E-2</v>
      </c>
      <c r="K51"/>
      <c r="L51"/>
      <c r="M51"/>
      <c r="N51"/>
      <c r="O51"/>
    </row>
    <row r="52" spans="7:15" ht="13.8" x14ac:dyDescent="0.25">
      <c r="G52" s="1394" t="s">
        <v>4143</v>
      </c>
      <c r="H52" s="1379">
        <v>24</v>
      </c>
      <c r="I52" s="1396">
        <v>1</v>
      </c>
      <c r="J52" s="1379">
        <v>4.1518339266429345E-2</v>
      </c>
      <c r="K52"/>
      <c r="L52"/>
      <c r="M52"/>
      <c r="N52"/>
      <c r="O52"/>
    </row>
    <row r="53" spans="7:15" ht="13.8" x14ac:dyDescent="0.25">
      <c r="G53" s="1394" t="s">
        <v>4144</v>
      </c>
      <c r="H53" s="1379">
        <v>18.5</v>
      </c>
      <c r="I53" s="1396">
        <v>1</v>
      </c>
      <c r="J53" s="1379">
        <v>5.4569609281237504E-2</v>
      </c>
      <c r="K53"/>
      <c r="L53"/>
      <c r="M53"/>
      <c r="N53"/>
      <c r="O53"/>
    </row>
    <row r="54" spans="7:15" ht="13.8" x14ac:dyDescent="0.25">
      <c r="G54" s="1394" t="s">
        <v>1249</v>
      </c>
      <c r="H54" s="1379">
        <v>19.25</v>
      </c>
      <c r="I54" s="1396">
        <v>1</v>
      </c>
      <c r="J54" s="1379">
        <v>0.10482464441028588</v>
      </c>
      <c r="K54"/>
      <c r="L54"/>
      <c r="M54"/>
      <c r="N54"/>
      <c r="O54"/>
    </row>
    <row r="55" spans="7:15" ht="13.8" x14ac:dyDescent="0.25">
      <c r="G55" s="1394" t="s">
        <v>3138</v>
      </c>
      <c r="H55" s="1379">
        <v>17</v>
      </c>
      <c r="I55" s="1396">
        <v>1</v>
      </c>
      <c r="J55" s="1379">
        <v>5.9694364851957969E-2</v>
      </c>
      <c r="K55"/>
      <c r="L55"/>
      <c r="M55"/>
      <c r="N55"/>
      <c r="O55"/>
    </row>
    <row r="56" spans="7:15" ht="13.8" x14ac:dyDescent="0.25">
      <c r="G56" s="1394" t="s">
        <v>1229</v>
      </c>
      <c r="H56" s="1379">
        <v>18.5</v>
      </c>
      <c r="I56" s="1396">
        <v>1</v>
      </c>
      <c r="J56" s="1379">
        <v>5.4569609281237504E-2</v>
      </c>
      <c r="K56"/>
      <c r="L56"/>
      <c r="M56"/>
      <c r="N56"/>
      <c r="O56"/>
    </row>
    <row r="57" spans="7:15" ht="13.8" x14ac:dyDescent="0.25">
      <c r="G57" s="1394" t="s">
        <v>4145</v>
      </c>
      <c r="H57" s="1379">
        <v>23</v>
      </c>
      <c r="I57" s="1396">
        <v>1</v>
      </c>
      <c r="J57" s="1379">
        <v>4.3413892445582587E-2</v>
      </c>
      <c r="K57"/>
      <c r="L57"/>
      <c r="M57"/>
      <c r="N57"/>
      <c r="O57"/>
    </row>
    <row r="58" spans="7:15" ht="13.8" x14ac:dyDescent="0.25">
      <c r="G58" s="1394" t="s">
        <v>4146</v>
      </c>
      <c r="H58" s="1379">
        <v>11</v>
      </c>
      <c r="I58" s="1396">
        <v>1</v>
      </c>
      <c r="J58" s="1379">
        <v>5.2939182452642064E-2</v>
      </c>
      <c r="K58"/>
      <c r="L58"/>
      <c r="M58"/>
      <c r="N58"/>
      <c r="O58"/>
    </row>
    <row r="59" spans="7:15" ht="13.8" x14ac:dyDescent="0.25">
      <c r="G59" s="1394" t="s">
        <v>1436</v>
      </c>
      <c r="H59" s="1379">
        <v>15.5</v>
      </c>
      <c r="I59" s="1396">
        <v>0</v>
      </c>
      <c r="J59" s="1379">
        <v>-0.99997368767267469</v>
      </c>
      <c r="K59"/>
      <c r="L59"/>
      <c r="M59"/>
      <c r="N59"/>
      <c r="O59"/>
    </row>
    <row r="60" spans="7:15" ht="13.8" x14ac:dyDescent="0.25">
      <c r="G60" s="1394" t="s">
        <v>4147</v>
      </c>
      <c r="H60" s="1379">
        <v>16.5</v>
      </c>
      <c r="I60" s="1396">
        <v>1</v>
      </c>
      <c r="J60" s="1379">
        <v>6.1611374407582936E-2</v>
      </c>
      <c r="K60"/>
      <c r="L60"/>
      <c r="M60"/>
      <c r="N60"/>
      <c r="O60"/>
    </row>
    <row r="61" spans="7:15" ht="13.8" x14ac:dyDescent="0.25">
      <c r="G61" s="1394" t="s">
        <v>4148</v>
      </c>
      <c r="H61" s="1379">
        <v>20</v>
      </c>
      <c r="I61" s="1396">
        <v>1</v>
      </c>
      <c r="J61" s="1379">
        <v>5.0263157894736843E-2</v>
      </c>
      <c r="L61"/>
      <c r="M61"/>
      <c r="N61"/>
      <c r="O61"/>
    </row>
    <row r="62" spans="7:15" ht="13.8" x14ac:dyDescent="0.25">
      <c r="G62" s="1394" t="s">
        <v>4149</v>
      </c>
      <c r="H62" s="1379">
        <v>20</v>
      </c>
      <c r="I62" s="1396">
        <v>1</v>
      </c>
      <c r="J62" s="1379">
        <v>5.0253720000980558E-2</v>
      </c>
      <c r="L62"/>
      <c r="M62"/>
      <c r="N62"/>
      <c r="O62"/>
    </row>
    <row r="63" spans="7:15" ht="13.8" x14ac:dyDescent="0.25">
      <c r="G63" s="1394" t="s">
        <v>4150</v>
      </c>
      <c r="H63" s="1379">
        <v>21</v>
      </c>
      <c r="I63" s="1396">
        <v>1</v>
      </c>
      <c r="J63" s="1379">
        <v>4.7741935483870963E-2</v>
      </c>
      <c r="L63"/>
      <c r="M63"/>
      <c r="N63"/>
      <c r="O63"/>
    </row>
    <row r="64" spans="7:15" ht="13.8" x14ac:dyDescent="0.25">
      <c r="G64" s="1394" t="s">
        <v>4151</v>
      </c>
      <c r="H64" s="1379">
        <v>12.5</v>
      </c>
      <c r="I64" s="1396">
        <v>1</v>
      </c>
      <c r="J64" s="1379">
        <v>8.3051776093507446E-2</v>
      </c>
      <c r="L64"/>
      <c r="M64"/>
      <c r="N64"/>
      <c r="O64"/>
    </row>
    <row r="65" spans="7:15" ht="13.8" x14ac:dyDescent="0.25">
      <c r="G65" s="1394" t="s">
        <v>3599</v>
      </c>
      <c r="H65" s="1379">
        <v>17</v>
      </c>
      <c r="I65" s="1396">
        <v>1</v>
      </c>
      <c r="J65" s="1379">
        <v>5.9687499999999998E-2</v>
      </c>
      <c r="L65"/>
      <c r="M65"/>
      <c r="N65"/>
      <c r="O65"/>
    </row>
    <row r="66" spans="7:15" ht="13.8" x14ac:dyDescent="0.25">
      <c r="G66" s="1394" t="s">
        <v>4222</v>
      </c>
      <c r="H66" s="1379">
        <v>30</v>
      </c>
      <c r="I66" s="1396">
        <v>1</v>
      </c>
      <c r="J66" s="1379">
        <v>3.2940552784404442E-2</v>
      </c>
      <c r="L66"/>
      <c r="M66"/>
      <c r="N66"/>
      <c r="O66"/>
    </row>
    <row r="67" spans="7:15" ht="13.8" x14ac:dyDescent="0.25">
      <c r="G67" s="1394" t="s">
        <v>4152</v>
      </c>
      <c r="H67" s="1379">
        <v>15.5</v>
      </c>
      <c r="I67" s="1396">
        <v>1</v>
      </c>
      <c r="J67" s="1379">
        <v>6.5847131135488055E-2</v>
      </c>
      <c r="L67"/>
      <c r="M67"/>
      <c r="N67"/>
      <c r="O67"/>
    </row>
    <row r="68" spans="7:15" ht="13.8" x14ac:dyDescent="0.25">
      <c r="G68" s="1394" t="s">
        <v>4153</v>
      </c>
      <c r="H68" s="1379">
        <v>22</v>
      </c>
      <c r="I68" s="1396">
        <v>1</v>
      </c>
      <c r="J68" s="1379">
        <v>4.5486354093771872E-2</v>
      </c>
      <c r="L68"/>
      <c r="M68"/>
      <c r="N68"/>
      <c r="O68"/>
    </row>
    <row r="69" spans="7:15" ht="13.8" x14ac:dyDescent="0.25">
      <c r="G69" s="1394" t="s">
        <v>4154</v>
      </c>
      <c r="H69" s="1379">
        <v>16</v>
      </c>
      <c r="I69" s="1396">
        <v>1</v>
      </c>
      <c r="J69" s="1379">
        <v>6.3669403688248749E-2</v>
      </c>
      <c r="L69"/>
      <c r="M69"/>
      <c r="N69"/>
    </row>
    <row r="70" spans="7:15" ht="13.8" x14ac:dyDescent="0.25">
      <c r="G70" s="1394" t="s">
        <v>4405</v>
      </c>
      <c r="H70" s="1379">
        <v>19</v>
      </c>
      <c r="I70" s="1396">
        <v>1</v>
      </c>
      <c r="J70" s="1379">
        <v>5.3055305530553057E-2</v>
      </c>
      <c r="L70"/>
      <c r="M70"/>
      <c r="N70"/>
    </row>
    <row r="71" spans="7:15" ht="13.8" x14ac:dyDescent="0.25">
      <c r="G71" s="1394" t="s">
        <v>4418</v>
      </c>
      <c r="H71" s="1379">
        <v>24</v>
      </c>
      <c r="I71" s="1396">
        <v>1</v>
      </c>
      <c r="J71" s="1379">
        <v>4.1528114608595637E-2</v>
      </c>
      <c r="L71"/>
      <c r="M71"/>
      <c r="N71"/>
    </row>
    <row r="72" spans="7:15" ht="13.8" x14ac:dyDescent="0.25">
      <c r="G72" s="1394" t="s">
        <v>4249</v>
      </c>
      <c r="H72" s="1379">
        <v>14</v>
      </c>
      <c r="I72" s="1396">
        <v>1</v>
      </c>
      <c r="J72" s="1379">
        <v>7.3455049894840474E-2</v>
      </c>
      <c r="L72"/>
      <c r="M72"/>
      <c r="N72"/>
    </row>
    <row r="73" spans="7:15" ht="13.8" x14ac:dyDescent="0.25">
      <c r="G73" s="1394" t="s">
        <v>4513</v>
      </c>
      <c r="H73" s="1379">
        <v>23</v>
      </c>
      <c r="I73" s="1396">
        <v>1</v>
      </c>
      <c r="J73" s="1379">
        <v>4.3414141414141412E-2</v>
      </c>
      <c r="L73"/>
      <c r="M73"/>
      <c r="N73"/>
    </row>
    <row r="74" spans="7:15" ht="13.8" x14ac:dyDescent="0.25">
      <c r="G74" s="1394" t="s">
        <v>4155</v>
      </c>
      <c r="H74" s="1379">
        <v>27.5</v>
      </c>
      <c r="I74" s="1396">
        <v>1</v>
      </c>
      <c r="J74" s="1379">
        <v>4.7750000000000001E-2</v>
      </c>
      <c r="L74"/>
      <c r="M74"/>
      <c r="N74"/>
    </row>
    <row r="75" spans="7:15" ht="13.8" x14ac:dyDescent="0.25">
      <c r="G75" s="1394" t="s">
        <v>4595</v>
      </c>
      <c r="H75" s="1379">
        <v>20</v>
      </c>
      <c r="I75" s="1396">
        <v>1</v>
      </c>
      <c r="J75" s="1379">
        <v>5.025628203525441E-2</v>
      </c>
      <c r="L75"/>
      <c r="M75"/>
      <c r="N75"/>
    </row>
    <row r="76" spans="7:15" ht="13.8" x14ac:dyDescent="0.25">
      <c r="G76" s="1394" t="s">
        <v>4186</v>
      </c>
      <c r="H76" s="1379">
        <v>21</v>
      </c>
      <c r="I76" s="1396">
        <v>1</v>
      </c>
      <c r="J76" s="1379">
        <v>4.7759036144578312E-2</v>
      </c>
      <c r="L76"/>
      <c r="M76"/>
      <c r="N76"/>
    </row>
    <row r="77" spans="7:15" ht="13.8" x14ac:dyDescent="0.25">
      <c r="G77" s="1394" t="s">
        <v>4514</v>
      </c>
      <c r="H77" s="1379">
        <v>24</v>
      </c>
      <c r="I77" s="1396">
        <v>1</v>
      </c>
      <c r="J77" s="1379">
        <v>4.1521958939640391E-2</v>
      </c>
      <c r="L77"/>
      <c r="M77"/>
      <c r="N77"/>
    </row>
    <row r="78" spans="7:15" ht="13.8" x14ac:dyDescent="0.25">
      <c r="G78" s="1394" t="s">
        <v>4187</v>
      </c>
      <c r="H78" s="1379">
        <v>20</v>
      </c>
      <c r="I78" s="1396">
        <v>1</v>
      </c>
      <c r="J78" s="1379">
        <v>5.026990553306343E-2</v>
      </c>
      <c r="L78"/>
      <c r="M78"/>
      <c r="N78"/>
    </row>
    <row r="79" spans="7:15" ht="13.8" x14ac:dyDescent="0.25">
      <c r="G79" s="1394" t="s">
        <v>4394</v>
      </c>
      <c r="H79" s="1379">
        <v>26</v>
      </c>
      <c r="I79" s="1396">
        <v>1</v>
      </c>
      <c r="J79" s="1379">
        <v>3.8195652173913047E-2</v>
      </c>
      <c r="L79"/>
      <c r="M79"/>
      <c r="N79"/>
    </row>
    <row r="80" spans="7:15" ht="13.8" x14ac:dyDescent="0.25">
      <c r="G80" s="1394" t="s">
        <v>4406</v>
      </c>
      <c r="H80" s="1379">
        <v>18</v>
      </c>
      <c r="I80" s="1396">
        <v>1</v>
      </c>
      <c r="J80" s="1379">
        <v>5.6186926084189473E-2</v>
      </c>
      <c r="L80"/>
      <c r="M80"/>
      <c r="N80"/>
    </row>
    <row r="81" spans="7:14" ht="13.8" x14ac:dyDescent="0.25">
      <c r="G81" s="1394" t="s">
        <v>4326</v>
      </c>
      <c r="H81" s="1379">
        <v>13.5</v>
      </c>
      <c r="I81" s="1396">
        <v>1</v>
      </c>
      <c r="J81" s="1379">
        <v>7.6404040404040405E-2</v>
      </c>
      <c r="L81"/>
      <c r="M81"/>
      <c r="N81"/>
    </row>
    <row r="82" spans="7:14" ht="13.8" x14ac:dyDescent="0.25">
      <c r="G82" s="1394" t="s">
        <v>4515</v>
      </c>
      <c r="H82" s="1379">
        <v>21</v>
      </c>
      <c r="I82" s="1396">
        <v>1</v>
      </c>
      <c r="J82" s="1379">
        <v>4.7758241758241761E-2</v>
      </c>
      <c r="L82"/>
      <c r="M82"/>
      <c r="N82"/>
    </row>
    <row r="83" spans="7:14" ht="13.8" x14ac:dyDescent="0.25">
      <c r="G83" s="1394" t="s">
        <v>4165</v>
      </c>
      <c r="H83" s="1379">
        <v>23</v>
      </c>
      <c r="I83" s="1396">
        <v>1</v>
      </c>
      <c r="J83" s="1379">
        <v>4.3404340434043405E-2</v>
      </c>
      <c r="L83"/>
      <c r="M83"/>
      <c r="N83"/>
    </row>
    <row r="84" spans="7:14" ht="13.8" x14ac:dyDescent="0.25">
      <c r="G84" s="1394" t="s">
        <v>4188</v>
      </c>
      <c r="H84" s="1379">
        <v>26</v>
      </c>
      <c r="I84" s="1396">
        <v>1</v>
      </c>
      <c r="J84" s="1379">
        <v>3.8200000000000005E-2</v>
      </c>
      <c r="L84"/>
      <c r="M84"/>
      <c r="N84"/>
    </row>
    <row r="85" spans="7:14" ht="13.8" x14ac:dyDescent="0.25">
      <c r="G85" s="1394" t="s">
        <v>4228</v>
      </c>
      <c r="H85" s="1379">
        <v>25</v>
      </c>
      <c r="I85" s="1396">
        <v>1</v>
      </c>
      <c r="J85" s="1379">
        <v>3.9783296130952384E-2</v>
      </c>
      <c r="L85"/>
      <c r="M85"/>
      <c r="N85"/>
    </row>
    <row r="86" spans="7:14" ht="13.8" x14ac:dyDescent="0.25">
      <c r="G86" s="1394" t="s">
        <v>4360</v>
      </c>
      <c r="H86" s="1379">
        <v>15</v>
      </c>
      <c r="I86" s="1396">
        <v>1</v>
      </c>
      <c r="J86" s="1379">
        <v>6.8206487441625649E-2</v>
      </c>
      <c r="L86"/>
      <c r="M86"/>
      <c r="N86"/>
    </row>
    <row r="87" spans="7:14" ht="13.8" x14ac:dyDescent="0.25">
      <c r="G87" s="1394" t="s">
        <v>4212</v>
      </c>
      <c r="H87" s="1379">
        <v>25</v>
      </c>
      <c r="I87" s="1396">
        <v>1</v>
      </c>
      <c r="J87" s="1379">
        <v>3.9798460144927536E-2</v>
      </c>
      <c r="L87"/>
      <c r="M87"/>
      <c r="N87"/>
    </row>
    <row r="88" spans="7:14" ht="13.8" x14ac:dyDescent="0.25">
      <c r="G88" s="1394" t="s">
        <v>4361</v>
      </c>
      <c r="H88" s="1379">
        <v>18.75</v>
      </c>
      <c r="I88" s="1396">
        <v>1</v>
      </c>
      <c r="J88" s="1379">
        <v>0.10936725412278764</v>
      </c>
      <c r="L88"/>
      <c r="M88"/>
      <c r="N88"/>
    </row>
    <row r="89" spans="7:14" ht="13.8" x14ac:dyDescent="0.25">
      <c r="G89" s="1394" t="s">
        <v>4211</v>
      </c>
      <c r="H89" s="1379">
        <v>24</v>
      </c>
      <c r="I89" s="1396">
        <v>1</v>
      </c>
      <c r="J89" s="1379">
        <v>4.1521524104416632E-2</v>
      </c>
      <c r="L89"/>
      <c r="M89"/>
      <c r="N89"/>
    </row>
    <row r="90" spans="7:14" ht="13.8" x14ac:dyDescent="0.25">
      <c r="G90" s="1394" t="s">
        <v>4213</v>
      </c>
      <c r="H90" s="1379">
        <v>19</v>
      </c>
      <c r="I90" s="1396">
        <v>1</v>
      </c>
      <c r="J90" s="1379">
        <v>5.3060298605955618E-2</v>
      </c>
      <c r="L90"/>
      <c r="M90"/>
      <c r="N90"/>
    </row>
    <row r="91" spans="7:14" ht="13.8" x14ac:dyDescent="0.25">
      <c r="G91" s="1394" t="s">
        <v>267</v>
      </c>
      <c r="H91" s="1379">
        <v>20.091948688191927</v>
      </c>
      <c r="I91" s="1396">
        <v>0.91208791208791207</v>
      </c>
      <c r="J91" s="1379">
        <v>1.1010161036475994</v>
      </c>
      <c r="L91"/>
      <c r="M91"/>
      <c r="N91"/>
    </row>
    <row r="92" spans="7:14" ht="13.8" x14ac:dyDescent="0.25">
      <c r="L92"/>
      <c r="M92"/>
      <c r="N92"/>
    </row>
    <row r="93" spans="7:14" ht="13.8" x14ac:dyDescent="0.25">
      <c r="L93"/>
      <c r="M93"/>
      <c r="N93"/>
    </row>
    <row r="94" spans="7:14" ht="13.8" x14ac:dyDescent="0.25">
      <c r="L94"/>
      <c r="M94"/>
      <c r="N94"/>
    </row>
    <row r="95" spans="7:14" ht="13.8" x14ac:dyDescent="0.25">
      <c r="L95"/>
      <c r="M95"/>
      <c r="N95"/>
    </row>
    <row r="96" spans="7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4"/>
  <sheetViews>
    <sheetView showGridLines="0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4" sqref="AO274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 x14ac:dyDescent="0.25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 x14ac:dyDescent="0.25">
      <c r="C3" s="22" t="s">
        <v>151</v>
      </c>
      <c r="D3" s="22" t="s">
        <v>74</v>
      </c>
      <c r="E3" s="22" t="s">
        <v>179</v>
      </c>
      <c r="F3" s="22" t="s">
        <v>4317</v>
      </c>
      <c r="G3" s="22" t="s">
        <v>3367</v>
      </c>
      <c r="H3" s="22" t="s">
        <v>1646</v>
      </c>
      <c r="I3" s="22" t="s">
        <v>3231</v>
      </c>
      <c r="J3" s="22" t="s">
        <v>3294</v>
      </c>
      <c r="K3" s="22" t="s">
        <v>4250</v>
      </c>
      <c r="L3" s="22" t="s">
        <v>314</v>
      </c>
      <c r="M3" s="22" t="s">
        <v>1814</v>
      </c>
      <c r="N3" s="22" t="s">
        <v>3585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1358</v>
      </c>
      <c r="W3" s="22" t="s">
        <v>3819</v>
      </c>
      <c r="X3" s="22" t="s">
        <v>3169</v>
      </c>
      <c r="Y3" s="22" t="s">
        <v>3614</v>
      </c>
      <c r="Z3" s="22" t="s">
        <v>3290</v>
      </c>
      <c r="AA3" s="22" t="s">
        <v>3148</v>
      </c>
      <c r="AB3" s="22" t="s">
        <v>150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 x14ac:dyDescent="0.25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 x14ac:dyDescent="0.25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 x14ac:dyDescent="0.25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 x14ac:dyDescent="0.25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 x14ac:dyDescent="0.25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 x14ac:dyDescent="0.25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 x14ac:dyDescent="0.25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 x14ac:dyDescent="0.25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 x14ac:dyDescent="0.25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 x14ac:dyDescent="0.25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 x14ac:dyDescent="0.25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 x14ac:dyDescent="0.25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 x14ac:dyDescent="0.25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 x14ac:dyDescent="0.25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 x14ac:dyDescent="0.25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 x14ac:dyDescent="0.25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 x14ac:dyDescent="0.25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 x14ac:dyDescent="0.25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 x14ac:dyDescent="0.25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 x14ac:dyDescent="0.25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 x14ac:dyDescent="0.25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 x14ac:dyDescent="0.25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 x14ac:dyDescent="0.25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 x14ac:dyDescent="0.25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 x14ac:dyDescent="0.25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 x14ac:dyDescent="0.25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 x14ac:dyDescent="0.25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 x14ac:dyDescent="0.25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 x14ac:dyDescent="0.25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 x14ac:dyDescent="0.25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 x14ac:dyDescent="0.25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 x14ac:dyDescent="0.25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 x14ac:dyDescent="0.25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 x14ac:dyDescent="0.25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 x14ac:dyDescent="0.25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 x14ac:dyDescent="0.25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 x14ac:dyDescent="0.25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 x14ac:dyDescent="0.25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 x14ac:dyDescent="0.25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 x14ac:dyDescent="0.25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 x14ac:dyDescent="0.25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 x14ac:dyDescent="0.25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 x14ac:dyDescent="0.25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 x14ac:dyDescent="0.25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 x14ac:dyDescent="0.25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 x14ac:dyDescent="0.25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 x14ac:dyDescent="0.25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 x14ac:dyDescent="0.25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 x14ac:dyDescent="0.25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 x14ac:dyDescent="0.25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 x14ac:dyDescent="0.25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 x14ac:dyDescent="0.25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 x14ac:dyDescent="0.25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 x14ac:dyDescent="0.25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 x14ac:dyDescent="0.25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 x14ac:dyDescent="0.25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 x14ac:dyDescent="0.25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 x14ac:dyDescent="0.25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 x14ac:dyDescent="0.25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 x14ac:dyDescent="0.25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 x14ac:dyDescent="0.25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 x14ac:dyDescent="0.25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 x14ac:dyDescent="0.25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 x14ac:dyDescent="0.25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 x14ac:dyDescent="0.25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 x14ac:dyDescent="0.25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 x14ac:dyDescent="0.25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 x14ac:dyDescent="0.25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 x14ac:dyDescent="0.25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 x14ac:dyDescent="0.25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 x14ac:dyDescent="0.25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 x14ac:dyDescent="0.25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 x14ac:dyDescent="0.25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 x14ac:dyDescent="0.25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 x14ac:dyDescent="0.25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 x14ac:dyDescent="0.25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 x14ac:dyDescent="0.25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 x14ac:dyDescent="0.25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 x14ac:dyDescent="0.25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 x14ac:dyDescent="0.25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 x14ac:dyDescent="0.25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 x14ac:dyDescent="0.25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 x14ac:dyDescent="0.25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 x14ac:dyDescent="0.25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 x14ac:dyDescent="0.25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 x14ac:dyDescent="0.25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 x14ac:dyDescent="0.25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 x14ac:dyDescent="0.25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 x14ac:dyDescent="0.25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 x14ac:dyDescent="0.25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 x14ac:dyDescent="0.25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 x14ac:dyDescent="0.25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 x14ac:dyDescent="0.25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 x14ac:dyDescent="0.25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 x14ac:dyDescent="0.25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 x14ac:dyDescent="0.25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 x14ac:dyDescent="0.25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 x14ac:dyDescent="0.25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 x14ac:dyDescent="0.25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 x14ac:dyDescent="0.25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 x14ac:dyDescent="0.25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 x14ac:dyDescent="0.25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 x14ac:dyDescent="0.25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 x14ac:dyDescent="0.25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 x14ac:dyDescent="0.25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 x14ac:dyDescent="0.25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 x14ac:dyDescent="0.25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 x14ac:dyDescent="0.25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 x14ac:dyDescent="0.25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 x14ac:dyDescent="0.25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 x14ac:dyDescent="0.25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 x14ac:dyDescent="0.25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 x14ac:dyDescent="0.25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 x14ac:dyDescent="0.25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 x14ac:dyDescent="0.25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 x14ac:dyDescent="0.25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 x14ac:dyDescent="0.25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 x14ac:dyDescent="0.25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 x14ac:dyDescent="0.25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 x14ac:dyDescent="0.25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 x14ac:dyDescent="0.25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 x14ac:dyDescent="0.25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 x14ac:dyDescent="0.25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 x14ac:dyDescent="0.25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 x14ac:dyDescent="0.25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 x14ac:dyDescent="0.25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 x14ac:dyDescent="0.25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 x14ac:dyDescent="0.25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 x14ac:dyDescent="0.25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 x14ac:dyDescent="0.25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 x14ac:dyDescent="0.25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 x14ac:dyDescent="0.25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 x14ac:dyDescent="0.25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 x14ac:dyDescent="0.25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 x14ac:dyDescent="0.25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 x14ac:dyDescent="0.25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 x14ac:dyDescent="0.25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 x14ac:dyDescent="0.25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 x14ac:dyDescent="0.25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 x14ac:dyDescent="0.25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 x14ac:dyDescent="0.25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 x14ac:dyDescent="0.25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 x14ac:dyDescent="0.25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 x14ac:dyDescent="0.25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 x14ac:dyDescent="0.25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 x14ac:dyDescent="0.25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 x14ac:dyDescent="0.25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 x14ac:dyDescent="0.25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 x14ac:dyDescent="0.25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 x14ac:dyDescent="0.25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 x14ac:dyDescent="0.25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 x14ac:dyDescent="0.25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 x14ac:dyDescent="0.25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 x14ac:dyDescent="0.25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 x14ac:dyDescent="0.25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 x14ac:dyDescent="0.25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 x14ac:dyDescent="0.25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 x14ac:dyDescent="0.25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 x14ac:dyDescent="0.25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 x14ac:dyDescent="0.25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 x14ac:dyDescent="0.25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 x14ac:dyDescent="0.25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 x14ac:dyDescent="0.25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 x14ac:dyDescent="0.25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 x14ac:dyDescent="0.25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 x14ac:dyDescent="0.25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 x14ac:dyDescent="0.25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 x14ac:dyDescent="0.25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 x14ac:dyDescent="0.25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 x14ac:dyDescent="0.25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 x14ac:dyDescent="0.25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 x14ac:dyDescent="0.25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 x14ac:dyDescent="0.25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 x14ac:dyDescent="0.25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 x14ac:dyDescent="0.25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 x14ac:dyDescent="0.25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 x14ac:dyDescent="0.25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 x14ac:dyDescent="0.25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 x14ac:dyDescent="0.25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 x14ac:dyDescent="0.25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 x14ac:dyDescent="0.25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 x14ac:dyDescent="0.25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 x14ac:dyDescent="0.25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 x14ac:dyDescent="0.25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 x14ac:dyDescent="0.25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 x14ac:dyDescent="0.25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 x14ac:dyDescent="0.25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 x14ac:dyDescent="0.25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 x14ac:dyDescent="0.25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 x14ac:dyDescent="0.25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 x14ac:dyDescent="0.25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 x14ac:dyDescent="0.25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 x14ac:dyDescent="0.25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 x14ac:dyDescent="0.25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 x14ac:dyDescent="0.25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 x14ac:dyDescent="0.25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 x14ac:dyDescent="0.25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 x14ac:dyDescent="0.25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 x14ac:dyDescent="0.25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 x14ac:dyDescent="0.25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 x14ac:dyDescent="0.25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 x14ac:dyDescent="0.25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 x14ac:dyDescent="0.25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 x14ac:dyDescent="0.25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 x14ac:dyDescent="0.25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 x14ac:dyDescent="0.25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 x14ac:dyDescent="0.25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 x14ac:dyDescent="0.25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 x14ac:dyDescent="0.25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 x14ac:dyDescent="0.25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 x14ac:dyDescent="0.25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 x14ac:dyDescent="0.25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 x14ac:dyDescent="0.25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 x14ac:dyDescent="0.25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 x14ac:dyDescent="0.25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 x14ac:dyDescent="0.25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 x14ac:dyDescent="0.25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 x14ac:dyDescent="0.25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 x14ac:dyDescent="0.25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 x14ac:dyDescent="0.25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 x14ac:dyDescent="0.25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 x14ac:dyDescent="0.25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 x14ac:dyDescent="0.25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 x14ac:dyDescent="0.25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 x14ac:dyDescent="0.25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 x14ac:dyDescent="0.25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 x14ac:dyDescent="0.25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 x14ac:dyDescent="0.25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 x14ac:dyDescent="0.25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 x14ac:dyDescent="0.25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 x14ac:dyDescent="0.25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 x14ac:dyDescent="0.25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 x14ac:dyDescent="0.25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 x14ac:dyDescent="0.25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 x14ac:dyDescent="0.25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 x14ac:dyDescent="0.25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 x14ac:dyDescent="0.25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 x14ac:dyDescent="0.25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 x14ac:dyDescent="0.25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 x14ac:dyDescent="0.25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 x14ac:dyDescent="0.25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 x14ac:dyDescent="0.25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 x14ac:dyDescent="0.25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  <row r="270" spans="2:76" ht="15" customHeight="1" x14ac:dyDescent="0.25">
      <c r="B270" s="33">
        <v>46260</v>
      </c>
      <c r="C270" s="2">
        <f t="shared" ref="C270" si="246">AP269</f>
        <v>4547.8989999999949</v>
      </c>
      <c r="D270" s="2">
        <f>SUMIFS(base[L/P Líquido],base[Data],Extrato!$B270,base[Método],Extrato!D$3,base[Exchange],"Fulltbet")</f>
        <v>20.100000000000001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0</v>
      </c>
      <c r="G270" s="2">
        <f>SUMIFS(base[L/P Líquido],base[Data],Extrato!$B270,base[Método],Extrato!G$3,base[Exchange],"Fulltbet")</f>
        <v>38.200000000000003</v>
      </c>
      <c r="H270" s="2">
        <f>SUMIFS(base[L/P Líquido],base[Data],Extrato!$B270,base[Método],Extrato!H$3)</f>
        <v>-134.46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10.92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Líquido],base[Data],Extrato!$B270,base[Método],Extrato!L$3)</f>
        <v>90.44</v>
      </c>
      <c r="M270" s="2">
        <f>SUMIF(BetFlow!B:B,B270,BetFlow!J:J)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Líquido],base[Data],Extrato!$B270,base[Método],Extrato!AA$3)</f>
        <v>0</v>
      </c>
      <c r="AB270" s="2">
        <f>SUMIFS(base[L/P Líquido],base[Data],Extrato!$B270,base[Método],Extrato!AB$3,base[Exchange],"Fulltbet")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ref="AP270" si="247">SUM(C270:AO270)</f>
        <v>4573.0889999999945</v>
      </c>
      <c r="AR270" s="2">
        <f t="shared" ref="AR270" si="248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9">SUM(AR270:BJ270)</f>
        <v>1.5695092486566892E-3</v>
      </c>
      <c r="BM270" s="2">
        <f t="shared" ref="BM270" si="250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51">SUM(BM270:BW270)</f>
        <v>743.96</v>
      </c>
    </row>
    <row r="271" spans="2:76" ht="15" customHeight="1" x14ac:dyDescent="0.25">
      <c r="B271" s="33">
        <v>46261</v>
      </c>
      <c r="C271" s="2">
        <f t="shared" ref="C271" si="252">AP270</f>
        <v>4573.0889999999945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0</v>
      </c>
      <c r="G271" s="2">
        <f>SUMIFS(base[L/P Líquido],base[Data],Extrato!$B271,base[Método],Extrato!G$3,base[Exchange],"Fulltbet")</f>
        <v>35.020000000000003</v>
      </c>
      <c r="H271" s="2">
        <f>SUMIFS(base[L/P Líquido],base[Data],Extrato!$B271,base[Método],Extrato!H$3)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28.32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Líquido],base[Data],Extrato!$B271,base[Método],Extrato!L$3)</f>
        <v>0</v>
      </c>
      <c r="M271" s="2">
        <f>SUMIF(BetFlow!B:B,B271,BetFlow!J:J)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Líquido],base[Data],Extrato!$B271,base[Método],Extrato!AA$3)</f>
        <v>0</v>
      </c>
      <c r="AB271" s="2">
        <f>SUMIFS(base[L/P Líquido],base[Data],Extrato!$B271,base[Método],Extrato!AB$3,base[Exchange],"Fulltbet")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ref="AP271" si="253">SUM(C271:AO271)</f>
        <v>4636.4189999999944</v>
      </c>
      <c r="AR271" s="2">
        <f t="shared" ref="AR271" si="25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55">SUM(AR271:BJ271)</f>
        <v>1.5695092486566892E-3</v>
      </c>
      <c r="BM271" s="2">
        <f t="shared" ref="BM271" si="25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57">SUM(BM271:BW271)</f>
        <v>743.96</v>
      </c>
    </row>
    <row r="272" spans="2:76" ht="15" customHeight="1" x14ac:dyDescent="0.25">
      <c r="B272" s="33">
        <v>46262</v>
      </c>
      <c r="C272" s="2">
        <f t="shared" ref="C272" si="258">AP271</f>
        <v>4636.4189999999944</v>
      </c>
      <c r="D272" s="2">
        <f>SUMIFS(base[L/P Líquido],base[Data],Extrato!$B272,base[Método],Extrato!D$3,base[Exchange],"Fulltbet")</f>
        <v>-394.91</v>
      </c>
      <c r="E272" s="2">
        <f>SUMIFS(base[L/P Líquido],base[Data],Extrato!$B272,base[Método],Extrato!E$3,base[Exchange],"Fulltbet")</f>
        <v>0</v>
      </c>
      <c r="F272" s="2">
        <f>SUMIFS(base[L/P Líquido],base[Data],Extrato!$B272,base[Método],Extrato!F$3,base[Exchange],"Fulltbet")</f>
        <v>0</v>
      </c>
      <c r="G272" s="2">
        <f>SUMIFS(base[L/P Líquido],base[Data],Extrato!$B272,base[Método],Extrato!G$3,base[Exchange],"Fulltbet")</f>
        <v>122.24000000000001</v>
      </c>
      <c r="H272" s="2">
        <f>SUMIFS(base[L/P Líquido],base[Data],Extrato!$B272,base[Método],Extrato!H$3)</f>
        <v>-63.550000000000004</v>
      </c>
      <c r="I272" s="2">
        <f>SUMIFS(base[L/P Líquido],base[Data],Extrato!$B272,base[Método],Extrato!I$3,base[Exchange],"Fulltbet")</f>
        <v>-364.48999999999995</v>
      </c>
      <c r="J272" s="2">
        <f>SUMIFS(base[L/P Líquido],base[Data],Extrato!$B272,base[Método],Extrato!J$3,base[Exchange],"Fulltbet")</f>
        <v>9.73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Líquido],base[Data],Extrato!$B272,base[Método],Extrato!L$3)</f>
        <v>151.13</v>
      </c>
      <c r="M272" s="2">
        <f>SUMIF(BetFlow!B:B,B272,BetFlow!J:J)</f>
        <v>0</v>
      </c>
      <c r="N272" s="2">
        <f>SUMIFS(base[L/P Líquido],base[Data],Extrato!$B272,base[Método],Extrato!N$3,base[Exchange],"Fulltbet")</f>
        <v>0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Líquido],base[Data],Extrato!$B272,base[Método],Extrato!AA$3)</f>
        <v>0</v>
      </c>
      <c r="AB272" s="2">
        <f>SUMIFS(base[L/P Líquido],base[Data],Extrato!$B272,base[Método],Extrato!AB$3,base[Exchange],"Fulltbet")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ref="AP272" si="259">SUM(C272:AO272)</f>
        <v>4096.568999999994</v>
      </c>
      <c r="AR272" s="2">
        <f t="shared" ref="AR272" si="260">BK271</f>
        <v>1.5695092486566892E-3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61">SUM(AR272:BJ272)</f>
        <v>1.5695092486566892E-3</v>
      </c>
      <c r="BM272" s="2">
        <f t="shared" ref="BM272" si="262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63">SUM(BM272:BW272)</f>
        <v>743.96</v>
      </c>
    </row>
    <row r="273" spans="2:76" ht="15" customHeight="1" x14ac:dyDescent="0.25">
      <c r="B273" s="33">
        <v>46263</v>
      </c>
      <c r="C273" s="2">
        <f t="shared" ref="C273" si="264">AP272</f>
        <v>4096.568999999994</v>
      </c>
      <c r="D273" s="2">
        <f>SUMIFS(base[L/P Líquido],base[Data],Extrato!$B273,base[Método],Extrato!D$3,base[Exchange],"Fulltbet")</f>
        <v>-399.87055000000004</v>
      </c>
      <c r="E273" s="2">
        <f>SUMIFS(base[L/P Líquido],base[Data],Extrato!$B273,base[Método],Extrato!E$3,base[Exchange],"Fulltbet")</f>
        <v>0</v>
      </c>
      <c r="F273" s="2">
        <f>SUMIFS(base[L/P Líquido],base[Data],Extrato!$B273,base[Método],Extrato!F$3,base[Exchange],"Fulltbet")</f>
        <v>-245.56000000000003</v>
      </c>
      <c r="G273" s="2">
        <f>SUMIFS(base[L/P Líquido],base[Data],Extrato!$B273,base[Método],Extrato!G$3,base[Exchange],"Fulltbet")</f>
        <v>95.33</v>
      </c>
      <c r="H273" s="2">
        <f>SUMIFS(base[L/P Líquido],base[Data],Extrato!$B273,base[Método],Extrato!H$3)</f>
        <v>60.63000000000001</v>
      </c>
      <c r="I273" s="2">
        <f>SUMIFS(base[L/P Líquido],base[Data],Extrato!$B273,base[Método],Extrato!I$3,base[Exchange],"Fulltbet")</f>
        <v>133.535</v>
      </c>
      <c r="J273" s="2">
        <f>SUMIFS(base[L/P Líquido],base[Data],Extrato!$B273,base[Método],Extrato!J$3,base[Exchange],"Fulltbet")</f>
        <v>7.24</v>
      </c>
      <c r="K273" s="2">
        <f>SUMIFS(base[L/P Líquido],base[Data],Extrato!$B273,base[Método],Extrato!K$3,base[Exchange],"Fulltbet")</f>
        <v>0</v>
      </c>
      <c r="L273" s="2">
        <f>SUMIFS(base[L/P Líquido],base[Data],Extrato!$B273,base[Método],Extrato!L$3)</f>
        <v>42.730000000000018</v>
      </c>
      <c r="M273" s="2">
        <f>SUMIF(BetFlow!B:B,B273,BetFlow!J:J)</f>
        <v>0</v>
      </c>
      <c r="N273" s="2">
        <f>SUMIFS(base[L/P Líquido],base[Data],Extrato!$B273,base[Método],Extrato!N$3,base[Exchange],"Fulltbet")</f>
        <v>0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0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Líquido],base[Data],Extrato!$B273,base[Método],Extrato!AA$3)</f>
        <v>0</v>
      </c>
      <c r="AB273" s="2">
        <f>SUMIFS(base[L/P Líquido],base[Data],Extrato!$B273,base[Método],Extrato!AB$3,base[Exchange],"Fulltbet")</f>
        <v>86.96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ref="AP273" si="265">SUM(C273:AO273)</f>
        <v>3877.5634499999937</v>
      </c>
      <c r="AR273" s="2">
        <f t="shared" ref="AR273" si="266">BK272</f>
        <v>1.5695092486566892E-3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67">SUM(AR273:BJ273)</f>
        <v>1.5695092486566892E-3</v>
      </c>
      <c r="BM273" s="2">
        <f t="shared" ref="BM273" si="268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69">SUM(BM273:BW273)</f>
        <v>743.96</v>
      </c>
    </row>
    <row r="274" spans="2:76" ht="15" customHeight="1" x14ac:dyDescent="0.25">
      <c r="B274" s="33">
        <v>46264</v>
      </c>
      <c r="C274" s="2">
        <f t="shared" ref="C274" si="270">AP273</f>
        <v>3877.5634499999937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0</v>
      </c>
      <c r="F274" s="2">
        <f>SUMIFS(base[L/P Líquido],base[Data],Extrato!$B274,base[Método],Extrato!F$3,base[Exchange],"Fulltbet")</f>
        <v>0</v>
      </c>
      <c r="G274" s="2">
        <f>SUMIFS(base[L/P Líquido],base[Data],Extrato!$B274,base[Método],Extrato!G$3,base[Exchange],"Fulltbet")</f>
        <v>113.99</v>
      </c>
      <c r="H274" s="2">
        <f>SUMIFS(base[L/P Líquido],base[Data],Extrato!$B274,base[Método],Extrato!H$3)</f>
        <v>32.986249999999998</v>
      </c>
      <c r="I274" s="2">
        <f>SUMIFS(base[L/P Líquido],base[Data],Extrato!$B274,base[Método],Extrato!I$3,base[Exchange],"Fulltbet")</f>
        <v>146.0386</v>
      </c>
      <c r="J274" s="2">
        <f>SUMIFS(base[L/P Líquido],base[Data],Extrato!$B274,base[Método],Extrato!J$3,base[Exchange],"Fulltbet")</f>
        <v>114.87434999999999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Líquido],base[Data],Extrato!$B274,base[Método],Extrato!L$3)</f>
        <v>114.6</v>
      </c>
      <c r="M274" s="2">
        <f>SUMIF(BetFlow!B:B,B274,BetFlow!J:J)</f>
        <v>0</v>
      </c>
      <c r="N274" s="2">
        <f>SUMIFS(base[L/P Líquido],base[Data],Extrato!$B274,base[Método],Extrato!N$3,base[Exchange],"Fulltbet")</f>
        <v>0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0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Líquido],base[Data],Extrato!$B274,base[Método],Extrato!AA$3)</f>
        <v>0</v>
      </c>
      <c r="AB274" s="2">
        <f>SUMIFS(base[L/P Líquido],base[Data],Extrato!$B274,base[Método],Extrato!AB$3,base[Exchange],"Fulltbet")</f>
        <v>27.32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ref="AP274" si="271">SUM(C274:AO274)</f>
        <v>4427.3726499999939</v>
      </c>
      <c r="AR274" s="2">
        <f t="shared" ref="AR274" si="272">BK273</f>
        <v>1.5695092486566892E-3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73">SUM(AR274:BJ274)</f>
        <v>1.5695092486566892E-3</v>
      </c>
      <c r="BM274" s="2">
        <f t="shared" ref="BM274" si="274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75">SUM(BM274:BW274)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2" sqref="F22"/>
    </sheetView>
  </sheetViews>
  <sheetFormatPr defaultRowHeight="15" customHeight="1" x14ac:dyDescent="0.25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 x14ac:dyDescent="0.25">
      <c r="B2" s="1432" t="s">
        <v>266</v>
      </c>
      <c r="C2" s="1433" t="s">
        <v>385</v>
      </c>
      <c r="E2" s="1432" t="s">
        <v>266</v>
      </c>
      <c r="F2" s="1433" t="s">
        <v>385</v>
      </c>
      <c r="G2" s="641"/>
      <c r="H2" s="1432" t="s">
        <v>266</v>
      </c>
      <c r="I2" s="1433" t="s">
        <v>385</v>
      </c>
      <c r="J2" s="641"/>
      <c r="K2" s="1432" t="s">
        <v>266</v>
      </c>
      <c r="L2" s="1433" t="s">
        <v>385</v>
      </c>
      <c r="M2" s="641"/>
      <c r="N2" s="1432" t="s">
        <v>266</v>
      </c>
      <c r="O2" s="1433" t="s">
        <v>385</v>
      </c>
      <c r="P2" s="641"/>
      <c r="Q2" s="1432" t="s">
        <v>464</v>
      </c>
      <c r="R2" s="1433" t="s">
        <v>463</v>
      </c>
      <c r="S2" s="1433" t="s">
        <v>156</v>
      </c>
      <c r="T2" s="1433" t="s">
        <v>255</v>
      </c>
      <c r="U2" s="641"/>
      <c r="V2" s="1432" t="s">
        <v>266</v>
      </c>
      <c r="W2" s="1433" t="s">
        <v>385</v>
      </c>
    </row>
    <row r="3" spans="2:23" ht="13.2" x14ac:dyDescent="0.25">
      <c r="B3" s="1434" t="s">
        <v>3231</v>
      </c>
      <c r="C3" s="1435">
        <v>542.94060000000002</v>
      </c>
      <c r="E3" s="1437">
        <v>46204</v>
      </c>
      <c r="F3" s="1435">
        <v>8.9599999999999973</v>
      </c>
      <c r="G3" s="641"/>
      <c r="H3" s="1434" t="s">
        <v>3615</v>
      </c>
      <c r="I3" s="1435">
        <v>540.82715000000121</v>
      </c>
      <c r="J3" s="641"/>
      <c r="K3" s="1434" t="s">
        <v>3615</v>
      </c>
      <c r="L3" s="1435">
        <v>540.82715000000121</v>
      </c>
      <c r="M3" s="641"/>
      <c r="N3" s="1434" t="s">
        <v>3615</v>
      </c>
      <c r="O3" s="1435">
        <v>540.82715000000121</v>
      </c>
      <c r="P3" s="641"/>
      <c r="Q3" s="1434" t="s">
        <v>74</v>
      </c>
      <c r="R3" s="1435">
        <v>401.42245000000008</v>
      </c>
      <c r="S3" s="1438">
        <v>1</v>
      </c>
      <c r="T3" s="1435">
        <v>17.033333333333335</v>
      </c>
      <c r="U3" s="641"/>
      <c r="V3" s="1434" t="s">
        <v>626</v>
      </c>
      <c r="W3" s="1435">
        <v>966.17275000000018</v>
      </c>
    </row>
    <row r="4" spans="2:23" ht="13.2" x14ac:dyDescent="0.25">
      <c r="B4" s="1434" t="s">
        <v>3294</v>
      </c>
      <c r="C4" s="1435">
        <v>540.80250000000012</v>
      </c>
      <c r="E4" s="1437">
        <v>46205</v>
      </c>
      <c r="F4" s="1435">
        <v>151.97</v>
      </c>
      <c r="G4" s="641"/>
      <c r="H4" s="1434" t="s">
        <v>267</v>
      </c>
      <c r="I4" s="1435">
        <v>540.82715000000121</v>
      </c>
      <c r="J4" s="641"/>
      <c r="K4" s="1434" t="s">
        <v>267</v>
      </c>
      <c r="L4" s="1435">
        <v>540.82715000000121</v>
      </c>
      <c r="M4" s="641"/>
      <c r="N4" s="1436" t="s">
        <v>3742</v>
      </c>
      <c r="O4" s="1435">
        <v>-445.83000000000004</v>
      </c>
      <c r="P4" s="641"/>
      <c r="Q4" s="1436" t="s">
        <v>692</v>
      </c>
      <c r="R4" s="1435">
        <v>302.65244999999999</v>
      </c>
      <c r="S4" s="1438">
        <v>1</v>
      </c>
      <c r="T4" s="1435">
        <v>14.8</v>
      </c>
      <c r="U4" s="641"/>
      <c r="V4" s="1434" t="s">
        <v>3214</v>
      </c>
      <c r="W4" s="1435">
        <v>489.20999999999941</v>
      </c>
    </row>
    <row r="5" spans="2:23" ht="13.8" x14ac:dyDescent="0.25">
      <c r="B5" s="1434" t="s">
        <v>74</v>
      </c>
      <c r="C5" s="1435">
        <v>401.42245000000008</v>
      </c>
      <c r="E5" s="1437">
        <v>46206</v>
      </c>
      <c r="F5" s="1435">
        <v>359.24</v>
      </c>
      <c r="G5" s="641"/>
      <c r="H5"/>
      <c r="I5"/>
      <c r="J5" s="641"/>
      <c r="K5"/>
      <c r="L5"/>
      <c r="M5" s="641"/>
      <c r="N5" s="1436" t="s">
        <v>75</v>
      </c>
      <c r="O5" s="1435">
        <v>-76.100000000000009</v>
      </c>
      <c r="P5" s="641"/>
      <c r="Q5" s="1436" t="s">
        <v>626</v>
      </c>
      <c r="R5" s="1435">
        <v>17.36</v>
      </c>
      <c r="S5" s="1438">
        <v>1</v>
      </c>
      <c r="T5" s="1435">
        <v>23</v>
      </c>
      <c r="U5" s="641"/>
      <c r="V5" s="1434" t="s">
        <v>693</v>
      </c>
      <c r="W5" s="1435">
        <v>344.90035</v>
      </c>
    </row>
    <row r="6" spans="2:23" ht="13.8" x14ac:dyDescent="0.25">
      <c r="B6" s="1434" t="s">
        <v>3367</v>
      </c>
      <c r="C6" s="1435">
        <v>371.12999999999994</v>
      </c>
      <c r="E6" s="1437">
        <v>46207</v>
      </c>
      <c r="F6" s="1435">
        <v>811.24</v>
      </c>
      <c r="G6" s="641"/>
      <c r="H6"/>
      <c r="I6"/>
      <c r="J6" s="641"/>
      <c r="K6"/>
      <c r="L6"/>
      <c r="M6" s="641"/>
      <c r="N6" s="1436" t="s">
        <v>13</v>
      </c>
      <c r="O6" s="1435">
        <v>82.90000000000002</v>
      </c>
      <c r="P6" s="641"/>
      <c r="Q6" s="1436" t="s">
        <v>693</v>
      </c>
      <c r="R6" s="1435">
        <v>81.41</v>
      </c>
      <c r="S6" s="1438">
        <v>1</v>
      </c>
      <c r="T6" s="1435">
        <v>21.125</v>
      </c>
      <c r="U6" s="641"/>
      <c r="V6" s="1434" t="s">
        <v>692</v>
      </c>
      <c r="W6" s="1435">
        <v>302.65244999999999</v>
      </c>
    </row>
    <row r="7" spans="2:23" ht="13.8" x14ac:dyDescent="0.25">
      <c r="B7" s="1434" t="s">
        <v>3290</v>
      </c>
      <c r="C7" s="1435">
        <v>358.90999999999985</v>
      </c>
      <c r="E7" s="1437">
        <v>46208</v>
      </c>
      <c r="F7" s="1435">
        <v>447.78620000000001</v>
      </c>
      <c r="G7" s="641"/>
      <c r="H7"/>
      <c r="I7"/>
      <c r="J7" s="641"/>
      <c r="K7"/>
      <c r="L7"/>
      <c r="M7" s="641"/>
      <c r="N7" s="1436" t="s">
        <v>692</v>
      </c>
      <c r="O7" s="1435">
        <v>302.65244999999999</v>
      </c>
      <c r="P7" s="641"/>
      <c r="Q7" s="1434" t="s">
        <v>179</v>
      </c>
      <c r="R7" s="1435">
        <v>-843.23</v>
      </c>
      <c r="S7" s="1438">
        <v>0.33333333333333331</v>
      </c>
      <c r="T7" s="1435">
        <v>5.5601027241598731</v>
      </c>
      <c r="U7" s="641"/>
      <c r="V7" s="1434" t="s">
        <v>4305</v>
      </c>
      <c r="W7" s="1435">
        <v>288.30999999999995</v>
      </c>
    </row>
    <row r="8" spans="2:23" ht="13.8" x14ac:dyDescent="0.25">
      <c r="B8" s="1434" t="s">
        <v>3819</v>
      </c>
      <c r="C8" s="1435">
        <v>133.67000000000002</v>
      </c>
      <c r="E8" s="1437">
        <v>46209</v>
      </c>
      <c r="F8" s="1435">
        <v>530.38620000000003</v>
      </c>
      <c r="G8" s="641"/>
      <c r="H8"/>
      <c r="I8"/>
      <c r="J8" s="641"/>
      <c r="K8"/>
      <c r="L8"/>
      <c r="M8" s="641"/>
      <c r="N8" s="1436" t="s">
        <v>626</v>
      </c>
      <c r="O8" s="1435">
        <v>966.17275000000018</v>
      </c>
      <c r="P8" s="641"/>
      <c r="Q8" s="1436" t="s">
        <v>3350</v>
      </c>
      <c r="R8" s="1435">
        <v>-533.34</v>
      </c>
      <c r="S8" s="1438">
        <v>0</v>
      </c>
      <c r="T8" s="1435">
        <v>5.3</v>
      </c>
      <c r="U8" s="641"/>
      <c r="V8" s="1434" t="s">
        <v>1736</v>
      </c>
      <c r="W8" s="1435">
        <v>88.024000000000015</v>
      </c>
    </row>
    <row r="9" spans="2:23" ht="13.8" x14ac:dyDescent="0.25">
      <c r="B9" s="1434" t="s">
        <v>3293</v>
      </c>
      <c r="C9" s="1435">
        <v>76.600000000000009</v>
      </c>
      <c r="E9" s="1437">
        <v>46210</v>
      </c>
      <c r="F9" s="1435">
        <v>581.73620000000005</v>
      </c>
      <c r="G9" s="641"/>
      <c r="H9"/>
      <c r="I9"/>
      <c r="J9" s="641"/>
      <c r="K9"/>
      <c r="L9"/>
      <c r="M9" s="641"/>
      <c r="N9" s="1436" t="s">
        <v>3347</v>
      </c>
      <c r="O9" s="1435">
        <v>-6.2999999999999829</v>
      </c>
      <c r="P9" s="641"/>
      <c r="Q9" s="1436" t="s">
        <v>391</v>
      </c>
      <c r="R9" s="1435">
        <v>-309.89</v>
      </c>
      <c r="S9" s="1438">
        <v>0.5</v>
      </c>
      <c r="T9" s="1435">
        <v>5.6901540862398114</v>
      </c>
      <c r="U9" s="641"/>
      <c r="V9" s="1434" t="s">
        <v>13</v>
      </c>
      <c r="W9" s="1435">
        <v>82.90000000000002</v>
      </c>
    </row>
    <row r="10" spans="2:23" ht="13.8" x14ac:dyDescent="0.25">
      <c r="B10" s="1434" t="s">
        <v>314</v>
      </c>
      <c r="C10" s="1435">
        <v>59.400000000000006</v>
      </c>
      <c r="E10" s="1437">
        <v>46211</v>
      </c>
      <c r="F10" s="1435">
        <v>427.96620000000007</v>
      </c>
      <c r="G10" s="641"/>
      <c r="H10"/>
      <c r="I10"/>
      <c r="J10" s="641"/>
      <c r="K10"/>
      <c r="L10"/>
      <c r="M10" s="641"/>
      <c r="N10" s="1436" t="s">
        <v>693</v>
      </c>
      <c r="O10" s="1435">
        <v>344.90035</v>
      </c>
      <c r="P10" s="641"/>
      <c r="Q10" s="1434" t="s">
        <v>314</v>
      </c>
      <c r="R10" s="1435">
        <v>59.400000000000006</v>
      </c>
      <c r="S10" s="1438">
        <v>0.5714285714285714</v>
      </c>
      <c r="T10" s="1435">
        <v>1.8485714285714285</v>
      </c>
      <c r="U10" s="641"/>
      <c r="V10" s="1434" t="s">
        <v>349</v>
      </c>
      <c r="W10" s="1435">
        <v>59.400000000000006</v>
      </c>
    </row>
    <row r="11" spans="2:23" ht="13.8" x14ac:dyDescent="0.25">
      <c r="B11" s="1434" t="s">
        <v>3614</v>
      </c>
      <c r="C11" s="1435">
        <v>6.3999999999999844</v>
      </c>
      <c r="E11" s="1437">
        <v>46212</v>
      </c>
      <c r="F11" s="1435">
        <v>536.34620000000007</v>
      </c>
      <c r="G11" s="641"/>
      <c r="H11"/>
      <c r="I11"/>
      <c r="J11" s="641"/>
      <c r="K11"/>
      <c r="L11"/>
      <c r="M11" s="641"/>
      <c r="N11" s="1436" t="s">
        <v>3214</v>
      </c>
      <c r="O11" s="1435">
        <v>489.20999999999941</v>
      </c>
      <c r="P11" s="641"/>
      <c r="Q11" s="1436" t="s">
        <v>349</v>
      </c>
      <c r="R11" s="1435">
        <v>59.400000000000006</v>
      </c>
      <c r="S11" s="1438">
        <v>0.5714285714285714</v>
      </c>
      <c r="T11" s="1435">
        <v>1.8485714285714285</v>
      </c>
      <c r="U11" s="641"/>
      <c r="V11" s="1434" t="s">
        <v>3523</v>
      </c>
      <c r="W11" s="1435">
        <v>49.19</v>
      </c>
    </row>
    <row r="12" spans="2:23" ht="13.8" x14ac:dyDescent="0.25">
      <c r="B12" s="1434" t="s">
        <v>3585</v>
      </c>
      <c r="C12" s="1435">
        <v>3.5600000000000014</v>
      </c>
      <c r="E12" s="1437">
        <v>46213</v>
      </c>
      <c r="F12" s="1435">
        <v>622.38620000000003</v>
      </c>
      <c r="G12" s="641"/>
      <c r="H12"/>
      <c r="I12"/>
      <c r="J12" s="641"/>
      <c r="K12"/>
      <c r="L12"/>
      <c r="M12" s="641"/>
      <c r="N12" s="1436" t="s">
        <v>3170</v>
      </c>
      <c r="O12" s="1435">
        <v>-100</v>
      </c>
      <c r="P12" s="641"/>
      <c r="Q12" s="1434" t="s">
        <v>267</v>
      </c>
      <c r="R12" s="1435">
        <v>-382.40755000000001</v>
      </c>
      <c r="S12" s="1438">
        <v>0.75</v>
      </c>
      <c r="T12" s="1435">
        <v>10.778593440891402</v>
      </c>
      <c r="U12" s="641"/>
      <c r="V12" s="1434" t="s">
        <v>315</v>
      </c>
      <c r="W12" s="1435">
        <v>47.75</v>
      </c>
    </row>
    <row r="13" spans="2:23" ht="13.8" x14ac:dyDescent="0.25">
      <c r="B13" s="1434" t="s">
        <v>3768</v>
      </c>
      <c r="C13" s="1435">
        <v>-30.89</v>
      </c>
      <c r="E13" s="1437">
        <v>46214</v>
      </c>
      <c r="F13" s="1435">
        <v>686.93619999999999</v>
      </c>
      <c r="G13" s="641"/>
      <c r="H13" s="641"/>
      <c r="I13" s="641"/>
      <c r="J13" s="641"/>
      <c r="K13" s="641"/>
      <c r="L13" s="641"/>
      <c r="M13" s="641"/>
      <c r="N13" s="1436" t="s">
        <v>3171</v>
      </c>
      <c r="O13" s="1435">
        <v>-67.789999999999992</v>
      </c>
      <c r="P13" s="641"/>
      <c r="Q13"/>
      <c r="R13"/>
      <c r="S13"/>
      <c r="T13"/>
      <c r="U13" s="641"/>
      <c r="V13" s="1434" t="s">
        <v>1757</v>
      </c>
      <c r="W13" s="1435">
        <v>47.75</v>
      </c>
    </row>
    <row r="14" spans="2:23" ht="13.8" x14ac:dyDescent="0.25">
      <c r="B14" s="1434" t="s">
        <v>3368</v>
      </c>
      <c r="C14" s="1435">
        <v>-51.85</v>
      </c>
      <c r="E14" s="1437">
        <v>46215</v>
      </c>
      <c r="F14" s="1435">
        <v>1018.5762</v>
      </c>
      <c r="G14" s="641"/>
      <c r="H14" s="641"/>
      <c r="I14" s="641"/>
      <c r="J14" s="641"/>
      <c r="K14" s="641"/>
      <c r="L14" s="641"/>
      <c r="M14" s="641"/>
      <c r="N14" s="1436" t="s">
        <v>2274</v>
      </c>
      <c r="O14" s="1435">
        <v>43.545750000000005</v>
      </c>
      <c r="P14" s="641"/>
      <c r="Q14"/>
      <c r="R14"/>
      <c r="S14"/>
      <c r="T14"/>
      <c r="U14" s="641"/>
      <c r="V14" s="1434" t="s">
        <v>2274</v>
      </c>
      <c r="W14" s="1435">
        <v>43.545750000000005</v>
      </c>
    </row>
    <row r="15" spans="2:23" ht="13.8" x14ac:dyDescent="0.25">
      <c r="B15" s="1434" t="s">
        <v>1646</v>
      </c>
      <c r="C15" s="1435">
        <v>-113.37839999999994</v>
      </c>
      <c r="E15" s="1437">
        <v>46216</v>
      </c>
      <c r="F15" s="1435">
        <v>1074.9061999999999</v>
      </c>
      <c r="G15" s="641"/>
      <c r="H15" s="641"/>
      <c r="I15" s="641"/>
      <c r="J15" s="641"/>
      <c r="K15" s="641"/>
      <c r="L15" s="641"/>
      <c r="M15" s="641"/>
      <c r="N15" s="1436" t="s">
        <v>2534</v>
      </c>
      <c r="O15" s="1435">
        <v>2.9294500000000001</v>
      </c>
      <c r="P15" s="641"/>
      <c r="Q15"/>
      <c r="R15"/>
      <c r="S15"/>
      <c r="T15"/>
      <c r="U15" s="641"/>
      <c r="V15" s="1434" t="s">
        <v>4101</v>
      </c>
      <c r="W15" s="1435">
        <v>37.729999999999997</v>
      </c>
    </row>
    <row r="16" spans="2:23" ht="13.8" x14ac:dyDescent="0.25">
      <c r="B16" s="1434" t="s">
        <v>3213</v>
      </c>
      <c r="C16" s="1435">
        <v>-132.01999999999978</v>
      </c>
      <c r="E16" s="1437">
        <v>46217</v>
      </c>
      <c r="F16" s="1435">
        <v>1126.3162</v>
      </c>
      <c r="G16" s="641"/>
      <c r="H16" s="641"/>
      <c r="I16" s="641"/>
      <c r="J16" s="641"/>
      <c r="K16" s="641"/>
      <c r="L16" s="641"/>
      <c r="M16" s="641"/>
      <c r="N16" s="1436" t="s">
        <v>1735</v>
      </c>
      <c r="O16" s="1435">
        <v>-2</v>
      </c>
      <c r="P16" s="641"/>
      <c r="Q16"/>
      <c r="R16"/>
      <c r="S16"/>
      <c r="T16"/>
      <c r="U16" s="641"/>
      <c r="V16" s="1434" t="s">
        <v>390</v>
      </c>
      <c r="W16" s="1435">
        <v>36.08</v>
      </c>
    </row>
    <row r="17" spans="2:23" ht="13.8" x14ac:dyDescent="0.25">
      <c r="B17" s="1434" t="s">
        <v>3169</v>
      </c>
      <c r="C17" s="1435">
        <v>-167.79</v>
      </c>
      <c r="E17" s="1437">
        <v>46218</v>
      </c>
      <c r="F17" s="1435">
        <v>1094.9861999999998</v>
      </c>
      <c r="G17" s="641"/>
      <c r="H17" s="641"/>
      <c r="I17" s="641"/>
      <c r="J17" s="641"/>
      <c r="K17" s="641"/>
      <c r="L17" s="641"/>
      <c r="M17" s="641"/>
      <c r="N17" s="1436" t="s">
        <v>349</v>
      </c>
      <c r="O17" s="1435">
        <v>59.400000000000006</v>
      </c>
      <c r="P17" s="641"/>
      <c r="Q17"/>
      <c r="R17"/>
      <c r="S17"/>
      <c r="T17"/>
      <c r="U17" s="641"/>
      <c r="V17" s="1434" t="s">
        <v>3743</v>
      </c>
      <c r="W17" s="1435">
        <v>28.3</v>
      </c>
    </row>
    <row r="18" spans="2:23" ht="13.8" x14ac:dyDescent="0.25">
      <c r="B18" s="1434" t="s">
        <v>3535</v>
      </c>
      <c r="C18" s="1435">
        <v>-196.35</v>
      </c>
      <c r="E18" s="1437">
        <v>46219</v>
      </c>
      <c r="F18" s="1435">
        <v>1216.1061999999997</v>
      </c>
      <c r="G18" s="641"/>
      <c r="H18" s="641"/>
      <c r="I18" s="641"/>
      <c r="J18" s="641"/>
      <c r="K18" s="641"/>
      <c r="L18" s="641"/>
      <c r="M18" s="641"/>
      <c r="N18" s="1436" t="s">
        <v>2851</v>
      </c>
      <c r="O18" s="1435">
        <v>3.2367500000000007</v>
      </c>
      <c r="P18" s="641"/>
      <c r="Q18"/>
      <c r="R18"/>
      <c r="S18"/>
      <c r="T18"/>
      <c r="U18" s="641"/>
      <c r="V18" s="1434" t="s">
        <v>3753</v>
      </c>
      <c r="W18" s="1435">
        <v>21.23</v>
      </c>
    </row>
    <row r="19" spans="2:23" ht="13.8" x14ac:dyDescent="0.25">
      <c r="B19" s="1434" t="s">
        <v>3873</v>
      </c>
      <c r="C19" s="1435">
        <v>-208.82</v>
      </c>
      <c r="E19" s="1437">
        <v>46220</v>
      </c>
      <c r="F19" s="1435">
        <v>1516.5406999999996</v>
      </c>
      <c r="G19" s="641"/>
      <c r="H19" s="641"/>
      <c r="I19" s="641"/>
      <c r="J19" s="641"/>
      <c r="K19" s="641"/>
      <c r="L19" s="641"/>
      <c r="M19" s="641"/>
      <c r="N19" s="1436" t="s">
        <v>2334</v>
      </c>
      <c r="O19" s="1435">
        <v>5.22</v>
      </c>
      <c r="P19" s="641"/>
      <c r="Q19"/>
      <c r="R19"/>
      <c r="S19"/>
      <c r="T19"/>
      <c r="U19" s="641"/>
      <c r="V19" s="1434" t="s">
        <v>3522</v>
      </c>
      <c r="W19" s="1435">
        <v>16.360000000000042</v>
      </c>
    </row>
    <row r="20" spans="2:23" ht="13.8" x14ac:dyDescent="0.25">
      <c r="B20" s="1434" t="s">
        <v>3872</v>
      </c>
      <c r="C20" s="1435">
        <v>-209.68</v>
      </c>
      <c r="E20" s="1437">
        <v>46221</v>
      </c>
      <c r="F20" s="1435">
        <v>1310.8406999999995</v>
      </c>
      <c r="H20" s="641"/>
      <c r="I20" s="641"/>
      <c r="K20" s="641"/>
      <c r="N20" s="1436" t="s">
        <v>3781</v>
      </c>
      <c r="O20" s="1435">
        <v>-51.85</v>
      </c>
      <c r="Q20"/>
      <c r="R20"/>
      <c r="S20"/>
      <c r="T20"/>
      <c r="V20" s="1434" t="s">
        <v>1542</v>
      </c>
      <c r="W20" s="1435">
        <v>9.6900000000000084</v>
      </c>
    </row>
    <row r="21" spans="2:23" ht="13.8" x14ac:dyDescent="0.25">
      <c r="B21" s="1434" t="s">
        <v>179</v>
      </c>
      <c r="C21" s="1435">
        <v>-843.23</v>
      </c>
      <c r="E21" s="1437">
        <v>46222</v>
      </c>
      <c r="F21" s="1435">
        <v>1592.5050999999994</v>
      </c>
      <c r="H21" s="641"/>
      <c r="I21" s="641"/>
      <c r="K21" s="641"/>
      <c r="N21" s="1436" t="s">
        <v>390</v>
      </c>
      <c r="O21" s="1435">
        <v>36.08</v>
      </c>
      <c r="Q21"/>
      <c r="R21"/>
      <c r="S21"/>
      <c r="T21"/>
      <c r="V21" s="1434" t="s">
        <v>2334</v>
      </c>
      <c r="W21" s="1435">
        <v>5.22</v>
      </c>
    </row>
    <row r="22" spans="2:23" ht="13.8" x14ac:dyDescent="0.25">
      <c r="B22" s="1434" t="s">
        <v>267</v>
      </c>
      <c r="C22" s="1435">
        <v>540.82715000000121</v>
      </c>
      <c r="E22" s="1437">
        <v>46223</v>
      </c>
      <c r="F22" s="1435">
        <v>1657.8187499999995</v>
      </c>
      <c r="H22" s="641"/>
      <c r="I22" s="641"/>
      <c r="K22" s="641"/>
      <c r="N22" s="1436" t="s">
        <v>1645</v>
      </c>
      <c r="O22" s="1435">
        <v>-10</v>
      </c>
      <c r="Q22"/>
      <c r="R22"/>
      <c r="S22"/>
      <c r="T22"/>
      <c r="V22" s="1434" t="s">
        <v>2851</v>
      </c>
      <c r="W22" s="1435">
        <v>3.2367500000000007</v>
      </c>
    </row>
    <row r="23" spans="2:23" ht="13.8" x14ac:dyDescent="0.25">
      <c r="B23"/>
      <c r="C23"/>
      <c r="E23" s="1437">
        <v>46224</v>
      </c>
      <c r="F23" s="1435">
        <v>1596.9544999999994</v>
      </c>
      <c r="H23" s="641"/>
      <c r="I23" s="641"/>
      <c r="K23" s="641"/>
      <c r="N23" s="1436" t="s">
        <v>2335</v>
      </c>
      <c r="O23" s="1435">
        <v>-4</v>
      </c>
      <c r="Q23"/>
      <c r="R23"/>
      <c r="S23"/>
      <c r="T23"/>
      <c r="V23" s="1434" t="s">
        <v>2534</v>
      </c>
      <c r="W23" s="1435">
        <v>2.9294500000000001</v>
      </c>
    </row>
    <row r="24" spans="2:23" ht="13.8" x14ac:dyDescent="0.25">
      <c r="B24"/>
      <c r="C24"/>
      <c r="E24" s="1437">
        <v>46225</v>
      </c>
      <c r="F24" s="1435">
        <v>1725.3244999999993</v>
      </c>
      <c r="H24" s="641"/>
      <c r="I24" s="641"/>
      <c r="K24" s="641"/>
      <c r="N24" s="1436" t="s">
        <v>1542</v>
      </c>
      <c r="O24" s="1435">
        <v>9.6900000000000084</v>
      </c>
      <c r="Q24"/>
      <c r="R24"/>
      <c r="S24"/>
      <c r="T24"/>
      <c r="V24" s="1434" t="s">
        <v>1698</v>
      </c>
      <c r="W24" s="1435">
        <v>2.7504</v>
      </c>
    </row>
    <row r="25" spans="2:23" ht="13.8" x14ac:dyDescent="0.25">
      <c r="B25"/>
      <c r="C25"/>
      <c r="E25" s="1437">
        <v>46226</v>
      </c>
      <c r="F25" s="1435">
        <v>1257.8044999999993</v>
      </c>
      <c r="H25" s="641"/>
      <c r="I25" s="641"/>
      <c r="K25" s="641"/>
      <c r="N25" s="1436" t="s">
        <v>2917</v>
      </c>
      <c r="O25" s="1435">
        <v>-44.69</v>
      </c>
      <c r="Q25"/>
      <c r="R25"/>
      <c r="S25"/>
      <c r="T25"/>
      <c r="V25" s="1434" t="s">
        <v>3293</v>
      </c>
      <c r="W25" s="1435">
        <v>2.0699999999999998</v>
      </c>
    </row>
    <row r="26" spans="2:23" ht="13.8" x14ac:dyDescent="0.25">
      <c r="B26"/>
      <c r="C26"/>
      <c r="E26" s="1437">
        <v>46227</v>
      </c>
      <c r="F26" s="1435">
        <v>1410.6325499999994</v>
      </c>
      <c r="H26" s="641"/>
      <c r="I26" s="641"/>
      <c r="K26" s="641"/>
      <c r="N26" s="1436" t="s">
        <v>2916</v>
      </c>
      <c r="O26" s="1435">
        <v>-19.214749999999995</v>
      </c>
      <c r="Q26"/>
      <c r="R26"/>
      <c r="S26"/>
      <c r="T26"/>
      <c r="V26" s="1434" t="s">
        <v>2304</v>
      </c>
      <c r="W26" s="1435">
        <v>2.0099999999999998</v>
      </c>
    </row>
    <row r="27" spans="2:23" ht="13.8" x14ac:dyDescent="0.25">
      <c r="B27"/>
      <c r="C27"/>
      <c r="E27" s="1437">
        <v>46228</v>
      </c>
      <c r="F27" s="1435">
        <v>1086.1525499999993</v>
      </c>
      <c r="H27" s="641"/>
      <c r="I27" s="641"/>
      <c r="K27" s="641"/>
      <c r="N27" s="1436" t="s">
        <v>2918</v>
      </c>
      <c r="O27" s="1435">
        <v>0.71</v>
      </c>
      <c r="Q27"/>
      <c r="R27"/>
      <c r="S27"/>
      <c r="T27"/>
      <c r="V27" s="1434" t="s">
        <v>2918</v>
      </c>
      <c r="W27" s="1435">
        <v>0.71</v>
      </c>
    </row>
    <row r="28" spans="2:23" ht="13.8" x14ac:dyDescent="0.25">
      <c r="B28"/>
      <c r="C28"/>
      <c r="E28" s="1437">
        <v>46229</v>
      </c>
      <c r="F28" s="1435">
        <v>682.97714999999926</v>
      </c>
      <c r="H28" s="641"/>
      <c r="I28" s="641"/>
      <c r="N28" s="1436" t="s">
        <v>3743</v>
      </c>
      <c r="O28" s="1435">
        <v>28.3</v>
      </c>
      <c r="Q28"/>
      <c r="R28"/>
      <c r="S28"/>
      <c r="T28"/>
      <c r="V28" s="1434" t="s">
        <v>1771</v>
      </c>
      <c r="W28" s="1435">
        <v>-2</v>
      </c>
    </row>
    <row r="29" spans="2:23" ht="13.8" x14ac:dyDescent="0.25">
      <c r="B29"/>
      <c r="C29"/>
      <c r="E29" s="1437">
        <v>46230</v>
      </c>
      <c r="F29" s="1435">
        <v>680.02714999999921</v>
      </c>
      <c r="H29" s="641"/>
      <c r="I29" s="641"/>
      <c r="N29" s="1436" t="s">
        <v>1695</v>
      </c>
      <c r="O29" s="1435">
        <v>-128.77000000000001</v>
      </c>
      <c r="Q29" s="641"/>
      <c r="R29" s="641"/>
      <c r="S29" s="641"/>
      <c r="T29" s="641"/>
      <c r="V29" s="1434" t="s">
        <v>1735</v>
      </c>
      <c r="W29" s="1435">
        <v>-2</v>
      </c>
    </row>
    <row r="30" spans="2:23" ht="13.8" x14ac:dyDescent="0.25">
      <c r="B30"/>
      <c r="C30"/>
      <c r="E30" s="1437">
        <v>46231</v>
      </c>
      <c r="F30" s="1435">
        <v>734.21714999999926</v>
      </c>
      <c r="H30" s="641"/>
      <c r="I30" s="641"/>
      <c r="N30" s="1436" t="s">
        <v>1539</v>
      </c>
      <c r="O30" s="1435">
        <v>-621.2299999999999</v>
      </c>
      <c r="Q30" s="641"/>
      <c r="R30" s="641"/>
      <c r="S30" s="641"/>
      <c r="T30" s="641"/>
      <c r="V30" s="1434" t="s">
        <v>2335</v>
      </c>
      <c r="W30" s="1435">
        <v>-4</v>
      </c>
    </row>
    <row r="31" spans="2:23" ht="13.8" x14ac:dyDescent="0.25">
      <c r="B31"/>
      <c r="C31"/>
      <c r="E31" s="1437">
        <v>46232</v>
      </c>
      <c r="F31" s="1435">
        <v>684.4271499999993</v>
      </c>
      <c r="H31" s="641"/>
      <c r="I31" s="641"/>
      <c r="N31" s="1436" t="s">
        <v>1698</v>
      </c>
      <c r="O31" s="1435">
        <v>2.7504</v>
      </c>
      <c r="V31" s="1434" t="s">
        <v>3347</v>
      </c>
      <c r="W31" s="1435">
        <v>-6.2999999999999829</v>
      </c>
    </row>
    <row r="32" spans="2:23" ht="13.8" x14ac:dyDescent="0.25">
      <c r="B32"/>
      <c r="C32"/>
      <c r="E32" s="1437">
        <v>46233</v>
      </c>
      <c r="F32" s="1435">
        <v>711.59714999999926</v>
      </c>
      <c r="H32" s="641"/>
      <c r="I32" s="641"/>
      <c r="N32" s="1436" t="s">
        <v>3350</v>
      </c>
      <c r="O32" s="1435">
        <v>-435.7</v>
      </c>
      <c r="V32" s="1434" t="s">
        <v>1645</v>
      </c>
      <c r="W32" s="1435">
        <v>-10</v>
      </c>
    </row>
    <row r="33" spans="5:23" ht="13.2" x14ac:dyDescent="0.25">
      <c r="E33" s="1437">
        <v>46234</v>
      </c>
      <c r="F33" s="1435">
        <v>540.82714999999916</v>
      </c>
      <c r="H33" s="641"/>
      <c r="I33" s="641"/>
      <c r="N33" s="1436" t="s">
        <v>1757</v>
      </c>
      <c r="O33" s="1435">
        <v>47.75</v>
      </c>
      <c r="V33" s="1434" t="s">
        <v>4304</v>
      </c>
      <c r="W33" s="1435">
        <v>-16.180000000000035</v>
      </c>
    </row>
    <row r="34" spans="5:23" ht="13.2" x14ac:dyDescent="0.25">
      <c r="E34" s="1434" t="s">
        <v>267</v>
      </c>
      <c r="F34" s="1435"/>
      <c r="H34" s="641"/>
      <c r="I34" s="641"/>
      <c r="N34" s="1436" t="s">
        <v>410</v>
      </c>
      <c r="O34" s="1435">
        <v>-215.75</v>
      </c>
      <c r="V34" s="1434" t="s">
        <v>2916</v>
      </c>
      <c r="W34" s="1435">
        <v>-19.214749999999995</v>
      </c>
    </row>
    <row r="35" spans="5:23" ht="13.8" x14ac:dyDescent="0.25">
      <c r="E35"/>
      <c r="F35"/>
      <c r="H35" s="641"/>
      <c r="I35" s="641"/>
      <c r="N35" s="1436" t="s">
        <v>315</v>
      </c>
      <c r="O35" s="1435">
        <v>47.75</v>
      </c>
      <c r="V35" s="1434" t="s">
        <v>4106</v>
      </c>
      <c r="W35" s="1435">
        <v>-32.620000000000005</v>
      </c>
    </row>
    <row r="36" spans="5:23" ht="13.8" x14ac:dyDescent="0.25">
      <c r="E36"/>
      <c r="F36"/>
      <c r="N36" s="1436" t="s">
        <v>1771</v>
      </c>
      <c r="O36" s="1435">
        <v>-2</v>
      </c>
      <c r="V36" s="1434" t="s">
        <v>2917</v>
      </c>
      <c r="W36" s="1435">
        <v>-44.69</v>
      </c>
    </row>
    <row r="37" spans="5:23" ht="13.8" x14ac:dyDescent="0.25">
      <c r="E37"/>
      <c r="F37"/>
      <c r="N37" s="1436" t="s">
        <v>4106</v>
      </c>
      <c r="O37" s="1435">
        <v>-32.620000000000005</v>
      </c>
      <c r="V37" s="1434" t="s">
        <v>3781</v>
      </c>
      <c r="W37" s="1435">
        <v>-51.85</v>
      </c>
    </row>
    <row r="38" spans="5:23" ht="13.8" x14ac:dyDescent="0.25">
      <c r="E38"/>
      <c r="F38"/>
      <c r="N38" s="1436" t="s">
        <v>4101</v>
      </c>
      <c r="O38" s="1435">
        <v>37.729999999999997</v>
      </c>
      <c r="V38" s="1434" t="s">
        <v>1753</v>
      </c>
      <c r="W38" s="1435">
        <v>-62.89</v>
      </c>
    </row>
    <row r="39" spans="5:23" ht="13.8" x14ac:dyDescent="0.25">
      <c r="E39"/>
      <c r="F39"/>
      <c r="N39" s="1436" t="s">
        <v>1736</v>
      </c>
      <c r="O39" s="1435">
        <v>88.024000000000015</v>
      </c>
      <c r="V39" s="1434" t="s">
        <v>3171</v>
      </c>
      <c r="W39" s="1435">
        <v>-67.789999999999992</v>
      </c>
    </row>
    <row r="40" spans="5:23" ht="13.8" x14ac:dyDescent="0.25">
      <c r="E40"/>
      <c r="F40"/>
      <c r="N40" s="1436" t="s">
        <v>3753</v>
      </c>
      <c r="O40" s="1435">
        <v>21.23</v>
      </c>
      <c r="V40" s="1434" t="s">
        <v>75</v>
      </c>
      <c r="W40" s="1435">
        <v>-76.100000000000009</v>
      </c>
    </row>
    <row r="41" spans="5:23" ht="13.8" x14ac:dyDescent="0.25">
      <c r="E41"/>
      <c r="F41"/>
      <c r="N41" s="1436" t="s">
        <v>3523</v>
      </c>
      <c r="O41" s="1435">
        <v>49.19</v>
      </c>
      <c r="V41" s="1434" t="s">
        <v>391</v>
      </c>
      <c r="W41" s="1435">
        <v>-94.379999999999967</v>
      </c>
    </row>
    <row r="42" spans="5:23" ht="13.8" x14ac:dyDescent="0.25">
      <c r="E42"/>
      <c r="F42"/>
      <c r="N42" s="1436" t="s">
        <v>1753</v>
      </c>
      <c r="O42" s="1435">
        <v>-62.89</v>
      </c>
      <c r="V42" s="1434" t="s">
        <v>3170</v>
      </c>
      <c r="W42" s="1435">
        <v>-100</v>
      </c>
    </row>
    <row r="43" spans="5:23" ht="13.8" x14ac:dyDescent="0.25">
      <c r="E43"/>
      <c r="F43"/>
      <c r="N43" s="1436" t="s">
        <v>3293</v>
      </c>
      <c r="O43" s="1435">
        <v>2.0699999999999998</v>
      </c>
      <c r="V43" s="1434" t="s">
        <v>1695</v>
      </c>
      <c r="W43" s="1435">
        <v>-128.77000000000001</v>
      </c>
    </row>
    <row r="44" spans="5:23" ht="13.8" x14ac:dyDescent="0.25">
      <c r="E44"/>
      <c r="F44"/>
      <c r="N44" s="1436" t="s">
        <v>3522</v>
      </c>
      <c r="O44" s="1435">
        <v>16.360000000000042</v>
      </c>
      <c r="V44" s="1434" t="s">
        <v>410</v>
      </c>
      <c r="W44" s="1435">
        <v>-215.75</v>
      </c>
    </row>
    <row r="45" spans="5:23" ht="13.8" x14ac:dyDescent="0.25">
      <c r="E45"/>
      <c r="F45"/>
      <c r="N45" s="1436" t="s">
        <v>391</v>
      </c>
      <c r="O45" s="1435">
        <v>-94.379999999999967</v>
      </c>
      <c r="V45" s="1434" t="s">
        <v>3350</v>
      </c>
      <c r="W45" s="1435">
        <v>-435.7</v>
      </c>
    </row>
    <row r="46" spans="5:23" ht="13.8" x14ac:dyDescent="0.25">
      <c r="E46"/>
      <c r="F46"/>
      <c r="N46" s="1436" t="s">
        <v>2304</v>
      </c>
      <c r="O46" s="1435">
        <v>2.0099999999999998</v>
      </c>
      <c r="V46" s="1434" t="s">
        <v>3742</v>
      </c>
      <c r="W46" s="1435">
        <v>-445.83000000000004</v>
      </c>
    </row>
    <row r="47" spans="5:23" ht="13.8" x14ac:dyDescent="0.25">
      <c r="E47"/>
      <c r="F47"/>
      <c r="N47" s="1436" t="s">
        <v>4305</v>
      </c>
      <c r="O47" s="1435">
        <v>288.30999999999995</v>
      </c>
      <c r="V47" s="1434" t="s">
        <v>1539</v>
      </c>
      <c r="W47" s="1435">
        <v>-621.2299999999999</v>
      </c>
    </row>
    <row r="48" spans="5:23" ht="13.8" x14ac:dyDescent="0.25">
      <c r="E48"/>
      <c r="F48"/>
      <c r="N48" s="1436" t="s">
        <v>4304</v>
      </c>
      <c r="O48" s="1435">
        <v>-16.180000000000035</v>
      </c>
      <c r="V48" s="1434" t="s">
        <v>267</v>
      </c>
      <c r="W48" s="1435">
        <v>540.82715000000121</v>
      </c>
    </row>
    <row r="49" spans="5:23" ht="13.8" x14ac:dyDescent="0.25">
      <c r="E49"/>
      <c r="F49"/>
      <c r="N49" s="1434" t="s">
        <v>267</v>
      </c>
      <c r="O49" s="1435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641"/>
      <c r="N226"/>
      <c r="O226"/>
    </row>
    <row r="227" spans="5:15" ht="15" customHeight="1" x14ac:dyDescent="0.25">
      <c r="E227" s="641"/>
      <c r="N227"/>
      <c r="O227"/>
    </row>
    <row r="228" spans="5:15" ht="15" customHeight="1" x14ac:dyDescent="0.25">
      <c r="E228" s="641"/>
      <c r="N228"/>
      <c r="O228"/>
    </row>
    <row r="229" spans="5:15" ht="15" customHeight="1" x14ac:dyDescent="0.25">
      <c r="E229" s="641"/>
      <c r="N229"/>
      <c r="O229"/>
    </row>
    <row r="230" spans="5:15" ht="15" customHeight="1" x14ac:dyDescent="0.25">
      <c r="E230" s="641"/>
      <c r="N230"/>
      <c r="O230"/>
    </row>
    <row r="231" spans="5:15" ht="15" customHeight="1" x14ac:dyDescent="0.25">
      <c r="E231" s="641"/>
      <c r="N231"/>
      <c r="O231"/>
    </row>
    <row r="232" spans="5:15" ht="15" customHeight="1" x14ac:dyDescent="0.25">
      <c r="E232" s="641"/>
      <c r="N232"/>
      <c r="O232"/>
    </row>
    <row r="233" spans="5:15" ht="15" customHeight="1" x14ac:dyDescent="0.25">
      <c r="E233" s="641"/>
      <c r="N233"/>
      <c r="O233"/>
    </row>
    <row r="234" spans="5:15" ht="15" customHeight="1" x14ac:dyDescent="0.25">
      <c r="E234" s="641"/>
      <c r="N234"/>
      <c r="O234"/>
    </row>
    <row r="235" spans="5:15" ht="15" customHeight="1" x14ac:dyDescent="0.25">
      <c r="E235" s="641"/>
      <c r="N235"/>
      <c r="O235"/>
    </row>
    <row r="236" spans="5:15" ht="15" customHeight="1" x14ac:dyDescent="0.25">
      <c r="E236" s="641"/>
      <c r="N236"/>
      <c r="O236"/>
    </row>
    <row r="237" spans="5:15" ht="15" customHeight="1" x14ac:dyDescent="0.25">
      <c r="E237" s="641"/>
      <c r="N237"/>
      <c r="O237"/>
    </row>
    <row r="238" spans="5:15" ht="15" customHeight="1" x14ac:dyDescent="0.25">
      <c r="E238" s="641"/>
      <c r="N238"/>
      <c r="O238"/>
    </row>
    <row r="239" spans="5:15" ht="15" customHeight="1" x14ac:dyDescent="0.25">
      <c r="E239" s="641"/>
      <c r="N239"/>
      <c r="O239"/>
    </row>
    <row r="240" spans="5:15" ht="15" customHeight="1" x14ac:dyDescent="0.25">
      <c r="E240" s="641"/>
      <c r="N240"/>
      <c r="O240"/>
    </row>
    <row r="241" spans="5:15" ht="15" customHeight="1" x14ac:dyDescent="0.25">
      <c r="E241" s="641"/>
      <c r="N241"/>
      <c r="O241"/>
    </row>
    <row r="242" spans="5:15" ht="15" customHeight="1" x14ac:dyDescent="0.25">
      <c r="E242" s="641"/>
      <c r="N242"/>
      <c r="O242"/>
    </row>
    <row r="243" spans="5:15" ht="15" customHeight="1" x14ac:dyDescent="0.25">
      <c r="E243" s="641"/>
      <c r="N243"/>
      <c r="O243"/>
    </row>
    <row r="244" spans="5:15" ht="15" customHeight="1" x14ac:dyDescent="0.25">
      <c r="E244" s="641"/>
      <c r="N244"/>
      <c r="O244"/>
    </row>
    <row r="245" spans="5:15" ht="15" customHeight="1" x14ac:dyDescent="0.25">
      <c r="E245" s="641"/>
      <c r="N245"/>
      <c r="O245"/>
    </row>
    <row r="246" spans="5:15" ht="15" customHeight="1" x14ac:dyDescent="0.25">
      <c r="E246" s="641"/>
      <c r="N246"/>
      <c r="O246"/>
    </row>
    <row r="247" spans="5:15" ht="15" customHeight="1" x14ac:dyDescent="0.25">
      <c r="E247" s="641"/>
    </row>
    <row r="248" spans="5:15" ht="15" customHeight="1" x14ac:dyDescent="0.25">
      <c r="E248" s="641"/>
    </row>
    <row r="249" spans="5:15" ht="15" customHeight="1" x14ac:dyDescent="0.25">
      <c r="E249" s="641"/>
    </row>
    <row r="250" spans="5:15" ht="15" customHeight="1" x14ac:dyDescent="0.25">
      <c r="E250" s="641"/>
    </row>
    <row r="251" spans="5:15" ht="15" customHeight="1" x14ac:dyDescent="0.25">
      <c r="E251" s="641"/>
    </row>
    <row r="252" spans="5:15" ht="15" customHeight="1" x14ac:dyDescent="0.25">
      <c r="E252" s="641"/>
    </row>
    <row r="253" spans="5:15" ht="15" customHeight="1" x14ac:dyDescent="0.25">
      <c r="E253" s="641"/>
    </row>
    <row r="254" spans="5:15" ht="15" customHeight="1" x14ac:dyDescent="0.25">
      <c r="E254" s="641"/>
    </row>
    <row r="255" spans="5:15" ht="15" customHeight="1" x14ac:dyDescent="0.25">
      <c r="E255" s="641"/>
    </row>
    <row r="256" spans="5:15" ht="15" customHeight="1" x14ac:dyDescent="0.25">
      <c r="E256" s="641"/>
    </row>
    <row r="257" spans="5:5" ht="15" customHeight="1" x14ac:dyDescent="0.25">
      <c r="E257" s="641"/>
    </row>
    <row r="258" spans="5:5" ht="15" customHeight="1" x14ac:dyDescent="0.25">
      <c r="E258" s="641"/>
    </row>
    <row r="259" spans="5:5" ht="15" customHeight="1" x14ac:dyDescent="0.25">
      <c r="E259" s="641"/>
    </row>
    <row r="260" spans="5:5" ht="15" customHeight="1" x14ac:dyDescent="0.25">
      <c r="E260" s="641"/>
    </row>
    <row r="261" spans="5:5" ht="15" customHeight="1" x14ac:dyDescent="0.25">
      <c r="E261" s="641"/>
    </row>
    <row r="262" spans="5:5" ht="15" customHeight="1" x14ac:dyDescent="0.25">
      <c r="E262" s="641"/>
    </row>
    <row r="263" spans="5:5" ht="15" customHeight="1" x14ac:dyDescent="0.25">
      <c r="E263" s="641"/>
    </row>
    <row r="264" spans="5:5" ht="15" customHeight="1" x14ac:dyDescent="0.25">
      <c r="E264" s="641"/>
    </row>
    <row r="265" spans="5:5" ht="15" customHeight="1" x14ac:dyDescent="0.25">
      <c r="E265" s="641"/>
    </row>
    <row r="266" spans="5:5" ht="15" customHeight="1" x14ac:dyDescent="0.25">
      <c r="E266" s="641"/>
    </row>
    <row r="267" spans="5:5" ht="15" customHeight="1" x14ac:dyDescent="0.25">
      <c r="E267" s="641"/>
    </row>
    <row r="268" spans="5:5" ht="15" customHeight="1" x14ac:dyDescent="0.25">
      <c r="E268" s="641"/>
    </row>
    <row r="269" spans="5:5" ht="15" customHeight="1" x14ac:dyDescent="0.25">
      <c r="E269" s="641"/>
    </row>
    <row r="270" spans="5:5" ht="15" customHeight="1" x14ac:dyDescent="0.25">
      <c r="E270" s="641"/>
    </row>
    <row r="271" spans="5:5" ht="15" customHeight="1" x14ac:dyDescent="0.25">
      <c r="E271" s="641"/>
    </row>
    <row r="272" spans="5:5" ht="15" customHeight="1" x14ac:dyDescent="0.25">
      <c r="E272" s="641"/>
    </row>
    <row r="273" spans="5:5" ht="15" customHeight="1" x14ac:dyDescent="0.25">
      <c r="E273" s="641"/>
    </row>
    <row r="274" spans="5:5" ht="15" customHeight="1" x14ac:dyDescent="0.25">
      <c r="E274" s="641"/>
    </row>
    <row r="275" spans="5:5" ht="15" customHeight="1" x14ac:dyDescent="0.25">
      <c r="E275" s="641"/>
    </row>
    <row r="276" spans="5:5" ht="15" customHeight="1" x14ac:dyDescent="0.25">
      <c r="E276" s="641"/>
    </row>
    <row r="277" spans="5:5" ht="15" customHeight="1" x14ac:dyDescent="0.25">
      <c r="E277" s="641"/>
    </row>
    <row r="278" spans="5:5" ht="15" customHeight="1" x14ac:dyDescent="0.25">
      <c r="E278" s="641"/>
    </row>
    <row r="279" spans="5:5" ht="15" customHeight="1" x14ac:dyDescent="0.25">
      <c r="E279" s="641"/>
    </row>
    <row r="280" spans="5:5" ht="15" customHeight="1" x14ac:dyDescent="0.25">
      <c r="E280" s="641"/>
    </row>
    <row r="281" spans="5:5" ht="15" customHeight="1" x14ac:dyDescent="0.25">
      <c r="E281" s="641"/>
    </row>
    <row r="282" spans="5:5" ht="15" customHeight="1" x14ac:dyDescent="0.25">
      <c r="E282" s="641"/>
    </row>
    <row r="283" spans="5:5" ht="15" customHeight="1" x14ac:dyDescent="0.25">
      <c r="E283" s="641"/>
    </row>
    <row r="284" spans="5:5" ht="15" customHeight="1" x14ac:dyDescent="0.25">
      <c r="E284" s="641"/>
    </row>
    <row r="285" spans="5:5" ht="15" customHeight="1" x14ac:dyDescent="0.25">
      <c r="E285" s="641"/>
    </row>
    <row r="286" spans="5:5" ht="15" customHeight="1" x14ac:dyDescent="0.25">
      <c r="E286" s="641"/>
    </row>
    <row r="287" spans="5:5" ht="15" customHeight="1" x14ac:dyDescent="0.25">
      <c r="E287" s="641"/>
    </row>
    <row r="288" spans="5:5" ht="15" customHeight="1" x14ac:dyDescent="0.25">
      <c r="E288" s="641"/>
    </row>
    <row r="289" spans="5:5" ht="15" customHeight="1" x14ac:dyDescent="0.25">
      <c r="E289" s="641"/>
    </row>
    <row r="290" spans="5:5" ht="15" customHeight="1" x14ac:dyDescent="0.25">
      <c r="E290" s="641"/>
    </row>
    <row r="291" spans="5:5" ht="15" customHeight="1" x14ac:dyDescent="0.25">
      <c r="E291" s="641"/>
    </row>
    <row r="292" spans="5:5" ht="15" customHeight="1" x14ac:dyDescent="0.25">
      <c r="E292" s="641"/>
    </row>
    <row r="293" spans="5:5" ht="15" customHeight="1" x14ac:dyDescent="0.25">
      <c r="E293" s="641"/>
    </row>
    <row r="294" spans="5:5" ht="15" customHeight="1" x14ac:dyDescent="0.25">
      <c r="E294" s="641"/>
    </row>
    <row r="295" spans="5:5" ht="15" customHeight="1" x14ac:dyDescent="0.25">
      <c r="E295" s="641"/>
    </row>
    <row r="296" spans="5:5" ht="15" customHeight="1" x14ac:dyDescent="0.25">
      <c r="E296" s="641"/>
    </row>
    <row r="297" spans="5:5" ht="15" customHeight="1" x14ac:dyDescent="0.25">
      <c r="E297" s="641"/>
    </row>
    <row r="298" spans="5:5" ht="15" customHeight="1" x14ac:dyDescent="0.25">
      <c r="E298" s="641"/>
    </row>
    <row r="299" spans="5:5" ht="15" customHeight="1" x14ac:dyDescent="0.25">
      <c r="E299" s="641"/>
    </row>
    <row r="300" spans="5:5" ht="15" customHeight="1" x14ac:dyDescent="0.25">
      <c r="E300" s="641"/>
    </row>
    <row r="301" spans="5:5" ht="15" customHeight="1" x14ac:dyDescent="0.25">
      <c r="E301" s="641"/>
    </row>
    <row r="302" spans="5:5" ht="15" customHeight="1" x14ac:dyDescent="0.25">
      <c r="E302" s="641"/>
    </row>
    <row r="303" spans="5:5" ht="15" customHeight="1" x14ac:dyDescent="0.25">
      <c r="E303" s="641"/>
    </row>
    <row r="304" spans="5:5" ht="15" customHeight="1" x14ac:dyDescent="0.25">
      <c r="E304" s="641"/>
    </row>
    <row r="305" spans="5:5" ht="15" customHeight="1" x14ac:dyDescent="0.25">
      <c r="E305" s="641"/>
    </row>
    <row r="306" spans="5:5" ht="15" customHeight="1" x14ac:dyDescent="0.25">
      <c r="E306" s="641"/>
    </row>
    <row r="307" spans="5:5" ht="15" customHeight="1" x14ac:dyDescent="0.25">
      <c r="E307" s="641"/>
    </row>
    <row r="308" spans="5:5" ht="15" customHeight="1" x14ac:dyDescent="0.25">
      <c r="E308" s="641"/>
    </row>
    <row r="309" spans="5:5" ht="15" customHeight="1" x14ac:dyDescent="0.25">
      <c r="E309" s="641"/>
    </row>
    <row r="310" spans="5:5" ht="15" customHeight="1" x14ac:dyDescent="0.25">
      <c r="E310" s="641"/>
    </row>
    <row r="311" spans="5:5" ht="15" customHeight="1" x14ac:dyDescent="0.25">
      <c r="E311" s="641"/>
    </row>
    <row r="312" spans="5:5" ht="15" customHeight="1" x14ac:dyDescent="0.25">
      <c r="E312" s="641"/>
    </row>
    <row r="313" spans="5:5" ht="15" customHeight="1" x14ac:dyDescent="0.25">
      <c r="E313" s="641"/>
    </row>
    <row r="314" spans="5:5" ht="15" customHeight="1" x14ac:dyDescent="0.25">
      <c r="E314" s="641"/>
    </row>
    <row r="315" spans="5:5" ht="15" customHeight="1" x14ac:dyDescent="0.25">
      <c r="E315" s="641"/>
    </row>
    <row r="316" spans="5:5" ht="15" customHeight="1" x14ac:dyDescent="0.25">
      <c r="E316" s="641"/>
    </row>
    <row r="317" spans="5:5" ht="15" customHeight="1" x14ac:dyDescent="0.25">
      <c r="E317" s="641"/>
    </row>
    <row r="318" spans="5:5" ht="15" customHeight="1" x14ac:dyDescent="0.25">
      <c r="E318" s="641"/>
    </row>
    <row r="319" spans="5:5" ht="15" customHeight="1" x14ac:dyDescent="0.25">
      <c r="E319" s="641"/>
    </row>
    <row r="320" spans="5:5" ht="15" customHeight="1" x14ac:dyDescent="0.25">
      <c r="E320" s="641"/>
    </row>
    <row r="321" spans="5:5" ht="15" customHeight="1" x14ac:dyDescent="0.25">
      <c r="E321" s="641"/>
    </row>
    <row r="322" spans="5:5" ht="15" customHeight="1" x14ac:dyDescent="0.25">
      <c r="E322" s="641"/>
    </row>
    <row r="323" spans="5:5" ht="15" customHeight="1" x14ac:dyDescent="0.25">
      <c r="E323" s="641"/>
    </row>
    <row r="324" spans="5:5" ht="15" customHeight="1" x14ac:dyDescent="0.25">
      <c r="E324" s="641"/>
    </row>
    <row r="325" spans="5:5" ht="15" customHeight="1" x14ac:dyDescent="0.25">
      <c r="E325" s="641"/>
    </row>
    <row r="326" spans="5:5" ht="15" customHeight="1" x14ac:dyDescent="0.25">
      <c r="E326" s="641"/>
    </row>
    <row r="327" spans="5:5" ht="15" customHeight="1" x14ac:dyDescent="0.25">
      <c r="E327" s="641"/>
    </row>
    <row r="328" spans="5:5" ht="15" customHeight="1" x14ac:dyDescent="0.25">
      <c r="E328" s="641"/>
    </row>
    <row r="329" spans="5:5" ht="15" customHeight="1" x14ac:dyDescent="0.25">
      <c r="E329" s="641"/>
    </row>
    <row r="330" spans="5:5" ht="15" customHeight="1" x14ac:dyDescent="0.25">
      <c r="E330" s="641"/>
    </row>
    <row r="331" spans="5:5" ht="15" customHeight="1" x14ac:dyDescent="0.25">
      <c r="E331" s="641"/>
    </row>
    <row r="332" spans="5:5" ht="15" customHeight="1" x14ac:dyDescent="0.25">
      <c r="E332" s="641"/>
    </row>
    <row r="333" spans="5:5" ht="15" customHeight="1" x14ac:dyDescent="0.25">
      <c r="E333" s="641"/>
    </row>
    <row r="334" spans="5:5" ht="15" customHeight="1" x14ac:dyDescent="0.25">
      <c r="E334" s="641"/>
    </row>
    <row r="335" spans="5:5" ht="15" customHeight="1" x14ac:dyDescent="0.25">
      <c r="E335" s="641"/>
    </row>
    <row r="336" spans="5:5" ht="15" customHeight="1" x14ac:dyDescent="0.25">
      <c r="E336" s="641"/>
    </row>
    <row r="337" spans="5:5" ht="15" customHeight="1" x14ac:dyDescent="0.25">
      <c r="E337" s="641"/>
    </row>
    <row r="338" spans="5:5" ht="15" customHeight="1" x14ac:dyDescent="0.25">
      <c r="E338" s="641"/>
    </row>
    <row r="339" spans="5:5" ht="15" customHeight="1" x14ac:dyDescent="0.25">
      <c r="E339" s="641"/>
    </row>
    <row r="340" spans="5:5" ht="15" customHeight="1" x14ac:dyDescent="0.25">
      <c r="E340" s="641"/>
    </row>
    <row r="341" spans="5:5" ht="15" customHeight="1" x14ac:dyDescent="0.25">
      <c r="E341" s="641"/>
    </row>
    <row r="342" spans="5:5" ht="15" customHeight="1" x14ac:dyDescent="0.25">
      <c r="E342" s="641"/>
    </row>
    <row r="343" spans="5:5" ht="15" customHeight="1" x14ac:dyDescent="0.25">
      <c r="E343" s="641"/>
    </row>
    <row r="344" spans="5:5" ht="15" customHeight="1" x14ac:dyDescent="0.25">
      <c r="E344" s="641"/>
    </row>
    <row r="345" spans="5:5" ht="15" customHeight="1" x14ac:dyDescent="0.25">
      <c r="E345" s="641"/>
    </row>
    <row r="346" spans="5:5" ht="15" customHeight="1" x14ac:dyDescent="0.25">
      <c r="E346" s="641"/>
    </row>
    <row r="347" spans="5:5" ht="15" customHeight="1" x14ac:dyDescent="0.25">
      <c r="E347" s="641"/>
    </row>
    <row r="348" spans="5:5" ht="15" customHeight="1" x14ac:dyDescent="0.25">
      <c r="E348" s="641"/>
    </row>
    <row r="349" spans="5:5" ht="15" customHeight="1" x14ac:dyDescent="0.25">
      <c r="E349" s="641"/>
    </row>
    <row r="350" spans="5:5" ht="15" customHeight="1" x14ac:dyDescent="0.25">
      <c r="E350" s="641"/>
    </row>
    <row r="351" spans="5:5" ht="15" customHeight="1" x14ac:dyDescent="0.25">
      <c r="E351" s="641"/>
    </row>
    <row r="352" spans="5:5" ht="15" customHeight="1" x14ac:dyDescent="0.25">
      <c r="E352" s="641"/>
    </row>
    <row r="353" spans="5:5" ht="15" customHeight="1" x14ac:dyDescent="0.25">
      <c r="E353" s="641"/>
    </row>
    <row r="354" spans="5:5" ht="15" customHeight="1" x14ac:dyDescent="0.25">
      <c r="E354" s="641"/>
    </row>
    <row r="355" spans="5:5" ht="15" customHeight="1" x14ac:dyDescent="0.25">
      <c r="E355" s="641"/>
    </row>
    <row r="356" spans="5:5" ht="15" customHeight="1" x14ac:dyDescent="0.25">
      <c r="E356" s="641"/>
    </row>
    <row r="357" spans="5:5" ht="15" customHeight="1" x14ac:dyDescent="0.25">
      <c r="E357" s="641"/>
    </row>
    <row r="358" spans="5:5" ht="15" customHeight="1" x14ac:dyDescent="0.25">
      <c r="E358" s="641"/>
    </row>
    <row r="359" spans="5:5" ht="15" customHeight="1" x14ac:dyDescent="0.25">
      <c r="E359" s="641"/>
    </row>
    <row r="360" spans="5:5" ht="15" customHeight="1" x14ac:dyDescent="0.25">
      <c r="E360" s="641"/>
    </row>
    <row r="361" spans="5:5" ht="15" customHeight="1" x14ac:dyDescent="0.25">
      <c r="E361" s="641"/>
    </row>
    <row r="362" spans="5:5" ht="15" customHeight="1" x14ac:dyDescent="0.25">
      <c r="E362" s="641"/>
    </row>
    <row r="363" spans="5:5" ht="15" customHeight="1" x14ac:dyDescent="0.25">
      <c r="E363" s="641"/>
    </row>
    <row r="364" spans="5:5" ht="15" customHeight="1" x14ac:dyDescent="0.25">
      <c r="E364" s="641"/>
    </row>
    <row r="365" spans="5:5" ht="15" customHeight="1" x14ac:dyDescent="0.25">
      <c r="E365" s="641"/>
    </row>
    <row r="366" spans="5:5" ht="15" customHeight="1" x14ac:dyDescent="0.25">
      <c r="E366" s="641"/>
    </row>
    <row r="367" spans="5:5" ht="15" customHeight="1" x14ac:dyDescent="0.25">
      <c r="E367" s="641"/>
    </row>
    <row r="368" spans="5:5" ht="15" customHeight="1" x14ac:dyDescent="0.25">
      <c r="E368" s="641"/>
    </row>
    <row r="369" spans="5:5" ht="15" customHeight="1" x14ac:dyDescent="0.25">
      <c r="E369" s="641"/>
    </row>
    <row r="370" spans="5:5" ht="15" customHeight="1" x14ac:dyDescent="0.25">
      <c r="E370" s="641"/>
    </row>
    <row r="371" spans="5:5" ht="15" customHeight="1" x14ac:dyDescent="0.25">
      <c r="E371" s="641"/>
    </row>
    <row r="372" spans="5:5" ht="15" customHeight="1" x14ac:dyDescent="0.25">
      <c r="E372" s="641"/>
    </row>
    <row r="373" spans="5:5" ht="15" customHeight="1" x14ac:dyDescent="0.25">
      <c r="E373" s="641"/>
    </row>
    <row r="374" spans="5:5" ht="15" customHeight="1" x14ac:dyDescent="0.25">
      <c r="E374" s="641"/>
    </row>
    <row r="375" spans="5:5" ht="15" customHeight="1" x14ac:dyDescent="0.25">
      <c r="E375" s="641"/>
    </row>
    <row r="376" spans="5:5" ht="15" customHeight="1" x14ac:dyDescent="0.25">
      <c r="E376" s="641"/>
    </row>
    <row r="377" spans="5:5" ht="15" customHeight="1" x14ac:dyDescent="0.25">
      <c r="E377" s="641"/>
    </row>
    <row r="378" spans="5:5" ht="15" customHeight="1" x14ac:dyDescent="0.25">
      <c r="E378" s="641"/>
    </row>
    <row r="379" spans="5:5" ht="15" customHeight="1" x14ac:dyDescent="0.25">
      <c r="E379" s="641"/>
    </row>
    <row r="380" spans="5:5" ht="15" customHeight="1" x14ac:dyDescent="0.25">
      <c r="E380" s="641"/>
    </row>
    <row r="381" spans="5:5" ht="15" customHeight="1" x14ac:dyDescent="0.25">
      <c r="E381" s="641"/>
    </row>
    <row r="382" spans="5:5" ht="15" customHeight="1" x14ac:dyDescent="0.25">
      <c r="E382" s="641"/>
    </row>
    <row r="383" spans="5:5" ht="15" customHeight="1" x14ac:dyDescent="0.25">
      <c r="E383" s="641"/>
    </row>
    <row r="384" spans="5:5" ht="15" customHeight="1" x14ac:dyDescent="0.25">
      <c r="E384" s="641"/>
    </row>
    <row r="385" spans="5:5" ht="15" customHeight="1" x14ac:dyDescent="0.25">
      <c r="E385" s="641"/>
    </row>
    <row r="386" spans="5:5" ht="15" customHeight="1" x14ac:dyDescent="0.25">
      <c r="E386" s="641"/>
    </row>
    <row r="387" spans="5:5" ht="15" customHeight="1" x14ac:dyDescent="0.25">
      <c r="E387" s="641"/>
    </row>
    <row r="388" spans="5:5" ht="15" customHeight="1" x14ac:dyDescent="0.25">
      <c r="E388" s="641"/>
    </row>
    <row r="389" spans="5:5" ht="15" customHeight="1" x14ac:dyDescent="0.25">
      <c r="E389" s="641"/>
    </row>
    <row r="390" spans="5:5" ht="15" customHeight="1" x14ac:dyDescent="0.25">
      <c r="E390" s="641"/>
    </row>
    <row r="391" spans="5:5" ht="15" customHeight="1" x14ac:dyDescent="0.25">
      <c r="E391" s="641"/>
    </row>
    <row r="392" spans="5:5" ht="15" customHeight="1" x14ac:dyDescent="0.25">
      <c r="E392" s="641"/>
    </row>
    <row r="393" spans="5:5" ht="15" customHeight="1" x14ac:dyDescent="0.25">
      <c r="E393" s="641"/>
    </row>
    <row r="394" spans="5:5" ht="15" customHeight="1" x14ac:dyDescent="0.25">
      <c r="E394" s="641"/>
    </row>
    <row r="395" spans="5:5" ht="15" customHeight="1" x14ac:dyDescent="0.25">
      <c r="E395" s="641"/>
    </row>
    <row r="396" spans="5:5" ht="15" customHeight="1" x14ac:dyDescent="0.25">
      <c r="E396" s="641"/>
    </row>
    <row r="397" spans="5:5" ht="15" customHeight="1" x14ac:dyDescent="0.25">
      <c r="E397" s="641"/>
    </row>
    <row r="398" spans="5:5" ht="15" customHeight="1" x14ac:dyDescent="0.25">
      <c r="E398" s="641"/>
    </row>
    <row r="399" spans="5:5" ht="15" customHeight="1" x14ac:dyDescent="0.25">
      <c r="E399" s="641"/>
    </row>
    <row r="400" spans="5:5" ht="15" customHeight="1" x14ac:dyDescent="0.25">
      <c r="E400" s="641"/>
    </row>
    <row r="401" spans="5:5" ht="15" customHeight="1" x14ac:dyDescent="0.25">
      <c r="E401" s="641"/>
    </row>
    <row r="402" spans="5:5" ht="15" customHeight="1" x14ac:dyDescent="0.25">
      <c r="E402" s="641"/>
    </row>
    <row r="403" spans="5:5" ht="15" customHeight="1" x14ac:dyDescent="0.25">
      <c r="E403" s="641"/>
    </row>
    <row r="404" spans="5:5" ht="15" customHeight="1" x14ac:dyDescent="0.25">
      <c r="E404" s="641"/>
    </row>
    <row r="405" spans="5:5" ht="15" customHeight="1" x14ac:dyDescent="0.25">
      <c r="E405" s="641"/>
    </row>
    <row r="406" spans="5:5" ht="15" customHeight="1" x14ac:dyDescent="0.25">
      <c r="E406" s="641"/>
    </row>
    <row r="407" spans="5:5" ht="15" customHeight="1" x14ac:dyDescent="0.25">
      <c r="E407" s="641"/>
    </row>
    <row r="408" spans="5:5" ht="15" customHeight="1" x14ac:dyDescent="0.25">
      <c r="E408" s="641"/>
    </row>
    <row r="409" spans="5:5" ht="15" customHeight="1" x14ac:dyDescent="0.25">
      <c r="E409" s="641"/>
    </row>
    <row r="410" spans="5:5" ht="15" customHeight="1" x14ac:dyDescent="0.25">
      <c r="E410" s="641"/>
    </row>
    <row r="411" spans="5:5" ht="15" customHeight="1" x14ac:dyDescent="0.25">
      <c r="E411" s="641"/>
    </row>
    <row r="412" spans="5:5" ht="15" customHeight="1" x14ac:dyDescent="0.25">
      <c r="E412" s="641"/>
    </row>
    <row r="413" spans="5:5" ht="15" customHeight="1" x14ac:dyDescent="0.25">
      <c r="E413" s="641"/>
    </row>
    <row r="414" spans="5:5" ht="15" customHeight="1" x14ac:dyDescent="0.25">
      <c r="E414" s="641"/>
    </row>
    <row r="415" spans="5:5" ht="15" customHeight="1" x14ac:dyDescent="0.25">
      <c r="E415" s="641"/>
    </row>
    <row r="416" spans="5:5" ht="15" customHeight="1" x14ac:dyDescent="0.25">
      <c r="E416" s="641"/>
    </row>
    <row r="417" spans="5:5" ht="15" customHeight="1" x14ac:dyDescent="0.25">
      <c r="E417" s="641"/>
    </row>
    <row r="418" spans="5:5" ht="15" customHeight="1" x14ac:dyDescent="0.25">
      <c r="E418" s="641"/>
    </row>
    <row r="419" spans="5:5" ht="15" customHeight="1" x14ac:dyDescent="0.25">
      <c r="E419" s="641"/>
    </row>
    <row r="420" spans="5:5" ht="15" customHeight="1" x14ac:dyDescent="0.25">
      <c r="E420" s="641"/>
    </row>
    <row r="421" spans="5:5" ht="15" customHeight="1" x14ac:dyDescent="0.25">
      <c r="E421" s="641"/>
    </row>
    <row r="422" spans="5:5" ht="15" customHeight="1" x14ac:dyDescent="0.25">
      <c r="E422" s="641"/>
    </row>
    <row r="423" spans="5:5" ht="15" customHeight="1" x14ac:dyDescent="0.25">
      <c r="E423" s="641"/>
    </row>
    <row r="424" spans="5:5" ht="15" customHeight="1" x14ac:dyDescent="0.25">
      <c r="E424" s="641"/>
    </row>
    <row r="425" spans="5:5" ht="15" customHeight="1" x14ac:dyDescent="0.25">
      <c r="E425" s="641"/>
    </row>
    <row r="426" spans="5:5" ht="15" customHeight="1" x14ac:dyDescent="0.25">
      <c r="E426" s="641"/>
    </row>
    <row r="427" spans="5:5" ht="15" customHeight="1" x14ac:dyDescent="0.25">
      <c r="E427" s="641"/>
    </row>
    <row r="428" spans="5:5" ht="15" customHeight="1" x14ac:dyDescent="0.25">
      <c r="E428" s="641"/>
    </row>
    <row r="429" spans="5:5" ht="15" customHeight="1" x14ac:dyDescent="0.25">
      <c r="E429" s="641"/>
    </row>
    <row r="430" spans="5:5" ht="15" customHeight="1" x14ac:dyDescent="0.25">
      <c r="E430" s="641"/>
    </row>
    <row r="431" spans="5:5" ht="15" customHeight="1" x14ac:dyDescent="0.25">
      <c r="E431" s="641"/>
    </row>
    <row r="432" spans="5:5" ht="15" customHeight="1" x14ac:dyDescent="0.25">
      <c r="E432" s="641"/>
    </row>
    <row r="433" spans="5:5" ht="15" customHeight="1" x14ac:dyDescent="0.25">
      <c r="E433" s="641"/>
    </row>
    <row r="434" spans="5:5" ht="15" customHeight="1" x14ac:dyDescent="0.25">
      <c r="E434" s="641"/>
    </row>
    <row r="435" spans="5:5" ht="15" customHeight="1" x14ac:dyDescent="0.25">
      <c r="E435" s="641"/>
    </row>
    <row r="436" spans="5:5" ht="15" customHeight="1" x14ac:dyDescent="0.25">
      <c r="E436" s="641"/>
    </row>
    <row r="437" spans="5:5" ht="15" customHeight="1" x14ac:dyDescent="0.25">
      <c r="E437" s="641"/>
    </row>
    <row r="438" spans="5:5" ht="15" customHeight="1" x14ac:dyDescent="0.25">
      <c r="E438" s="641"/>
    </row>
    <row r="439" spans="5:5" ht="15" customHeight="1" x14ac:dyDescent="0.25">
      <c r="E439" s="641"/>
    </row>
    <row r="440" spans="5:5" ht="15" customHeight="1" x14ac:dyDescent="0.25">
      <c r="E440" s="641"/>
    </row>
    <row r="441" spans="5:5" ht="15" customHeight="1" x14ac:dyDescent="0.25">
      <c r="E441" s="641"/>
    </row>
    <row r="442" spans="5:5" ht="15" customHeight="1" x14ac:dyDescent="0.25">
      <c r="E442" s="641"/>
    </row>
    <row r="443" spans="5:5" ht="15" customHeight="1" x14ac:dyDescent="0.25">
      <c r="E443" s="641"/>
    </row>
    <row r="444" spans="5:5" ht="15" customHeight="1" x14ac:dyDescent="0.25">
      <c r="E444" s="641"/>
    </row>
    <row r="445" spans="5:5" ht="15" customHeight="1" x14ac:dyDescent="0.25">
      <c r="E445" s="641"/>
    </row>
    <row r="446" spans="5:5" ht="15" customHeight="1" x14ac:dyDescent="0.25">
      <c r="E446" s="641"/>
    </row>
    <row r="447" spans="5:5" ht="15" customHeight="1" x14ac:dyDescent="0.25">
      <c r="E447" s="641"/>
    </row>
    <row r="448" spans="5:5" ht="15" customHeight="1" x14ac:dyDescent="0.25">
      <c r="E448" s="641"/>
    </row>
    <row r="449" spans="5:5" ht="15" customHeight="1" x14ac:dyDescent="0.25">
      <c r="E449" s="641"/>
    </row>
    <row r="450" spans="5:5" ht="15" customHeight="1" x14ac:dyDescent="0.25">
      <c r="E450" s="641"/>
    </row>
    <row r="451" spans="5:5" ht="15" customHeight="1" x14ac:dyDescent="0.25">
      <c r="E451" s="641"/>
    </row>
    <row r="452" spans="5:5" ht="15" customHeight="1" x14ac:dyDescent="0.25">
      <c r="E452" s="641"/>
    </row>
    <row r="453" spans="5:5" ht="15" customHeight="1" x14ac:dyDescent="0.25">
      <c r="E453" s="641"/>
    </row>
    <row r="454" spans="5:5" ht="15" customHeight="1" x14ac:dyDescent="0.25">
      <c r="E454" s="641"/>
    </row>
    <row r="455" spans="5:5" ht="15" customHeight="1" x14ac:dyDescent="0.25">
      <c r="E455" s="641"/>
    </row>
    <row r="456" spans="5:5" ht="15" customHeight="1" x14ac:dyDescent="0.25">
      <c r="E456" s="641"/>
    </row>
    <row r="457" spans="5:5" ht="15" customHeight="1" x14ac:dyDescent="0.25">
      <c r="E457" s="641"/>
    </row>
    <row r="458" spans="5:5" ht="15" customHeight="1" x14ac:dyDescent="0.25">
      <c r="E458" s="641"/>
    </row>
    <row r="459" spans="5:5" ht="15" customHeight="1" x14ac:dyDescent="0.25">
      <c r="E459" s="641"/>
    </row>
    <row r="460" spans="5:5" ht="15" customHeight="1" x14ac:dyDescent="0.25">
      <c r="E460" s="641"/>
    </row>
    <row r="461" spans="5:5" ht="15" customHeight="1" x14ac:dyDescent="0.25">
      <c r="E461" s="641"/>
    </row>
    <row r="462" spans="5:5" ht="15" customHeight="1" x14ac:dyDescent="0.25">
      <c r="E462" s="641"/>
    </row>
    <row r="463" spans="5:5" ht="15" customHeight="1" x14ac:dyDescent="0.25">
      <c r="E463" s="641"/>
    </row>
    <row r="464" spans="5:5" ht="15" customHeight="1" x14ac:dyDescent="0.25">
      <c r="E464" s="641"/>
    </row>
    <row r="465" spans="5:5" ht="15" customHeight="1" x14ac:dyDescent="0.25">
      <c r="E465" s="641"/>
    </row>
    <row r="466" spans="5:5" ht="15" customHeight="1" x14ac:dyDescent="0.25">
      <c r="E466" s="641"/>
    </row>
    <row r="467" spans="5:5" ht="15" customHeight="1" x14ac:dyDescent="0.25">
      <c r="E467" s="641"/>
    </row>
    <row r="468" spans="5:5" ht="15" customHeight="1" x14ac:dyDescent="0.25">
      <c r="E468" s="641"/>
    </row>
    <row r="469" spans="5:5" ht="15" customHeight="1" x14ac:dyDescent="0.25">
      <c r="E469" s="641"/>
    </row>
    <row r="470" spans="5:5" ht="15" customHeight="1" x14ac:dyDescent="0.25">
      <c r="E470" s="641"/>
    </row>
    <row r="471" spans="5:5" ht="15" customHeight="1" x14ac:dyDescent="0.25">
      <c r="E471" s="641"/>
    </row>
    <row r="472" spans="5:5" ht="15" customHeight="1" x14ac:dyDescent="0.25">
      <c r="E472" s="641"/>
    </row>
    <row r="473" spans="5:5" ht="15" customHeight="1" x14ac:dyDescent="0.25">
      <c r="E473" s="641"/>
    </row>
    <row r="474" spans="5:5" ht="15" customHeight="1" x14ac:dyDescent="0.25">
      <c r="E474" s="641"/>
    </row>
    <row r="475" spans="5:5" ht="15" customHeight="1" x14ac:dyDescent="0.25">
      <c r="E475" s="641"/>
    </row>
    <row r="476" spans="5:5" ht="15" customHeight="1" x14ac:dyDescent="0.25">
      <c r="E476" s="641"/>
    </row>
    <row r="477" spans="5:5" ht="15" customHeight="1" x14ac:dyDescent="0.25">
      <c r="E477" s="641"/>
    </row>
    <row r="478" spans="5:5" ht="15" customHeight="1" x14ac:dyDescent="0.25">
      <c r="E478" s="641"/>
    </row>
    <row r="479" spans="5:5" ht="15" customHeight="1" x14ac:dyDescent="0.25">
      <c r="E479" s="641"/>
    </row>
    <row r="480" spans="5:5" ht="15" customHeight="1" x14ac:dyDescent="0.25">
      <c r="E480" s="641"/>
    </row>
    <row r="481" spans="5:5" ht="15" customHeight="1" x14ac:dyDescent="0.25">
      <c r="E481" s="641"/>
    </row>
    <row r="482" spans="5:5" ht="15" customHeight="1" x14ac:dyDescent="0.25">
      <c r="E482" s="641"/>
    </row>
    <row r="483" spans="5:5" ht="15" customHeight="1" x14ac:dyDescent="0.25">
      <c r="E483" s="641"/>
    </row>
    <row r="484" spans="5:5" ht="15" customHeight="1" x14ac:dyDescent="0.25">
      <c r="E484" s="641"/>
    </row>
    <row r="485" spans="5:5" ht="15" customHeight="1" x14ac:dyDescent="0.25">
      <c r="E485" s="641"/>
    </row>
    <row r="486" spans="5:5" ht="15" customHeight="1" x14ac:dyDescent="0.25">
      <c r="E486" s="641"/>
    </row>
    <row r="487" spans="5:5" ht="15" customHeight="1" x14ac:dyDescent="0.25">
      <c r="E487" s="641"/>
    </row>
    <row r="488" spans="5:5" ht="15" customHeight="1" x14ac:dyDescent="0.25">
      <c r="E488" s="641"/>
    </row>
    <row r="489" spans="5:5" ht="15" customHeight="1" x14ac:dyDescent="0.25">
      <c r="E489" s="641"/>
    </row>
    <row r="490" spans="5:5" ht="15" customHeight="1" x14ac:dyDescent="0.25">
      <c r="E490" s="641"/>
    </row>
    <row r="491" spans="5:5" ht="15" customHeight="1" x14ac:dyDescent="0.25">
      <c r="E491" s="641"/>
    </row>
    <row r="492" spans="5:5" ht="15" customHeight="1" x14ac:dyDescent="0.25">
      <c r="E492" s="641"/>
    </row>
    <row r="493" spans="5:5" ht="15" customHeight="1" x14ac:dyDescent="0.25">
      <c r="E493" s="641"/>
    </row>
    <row r="494" spans="5:5" ht="15" customHeight="1" x14ac:dyDescent="0.25">
      <c r="E494" s="641"/>
    </row>
    <row r="495" spans="5:5" ht="15" customHeight="1" x14ac:dyDescent="0.25">
      <c r="E495" s="641"/>
    </row>
    <row r="496" spans="5:5" ht="15" customHeight="1" x14ac:dyDescent="0.25">
      <c r="E496" s="641"/>
    </row>
    <row r="497" spans="5:5" ht="15" customHeight="1" x14ac:dyDescent="0.25">
      <c r="E497" s="641"/>
    </row>
    <row r="498" spans="5:5" ht="15" customHeight="1" x14ac:dyDescent="0.25">
      <c r="E498" s="641"/>
    </row>
    <row r="499" spans="5:5" ht="15" customHeight="1" x14ac:dyDescent="0.25">
      <c r="E499" s="641"/>
    </row>
    <row r="500" spans="5:5" ht="15" customHeight="1" x14ac:dyDescent="0.25">
      <c r="E500" s="641"/>
    </row>
    <row r="501" spans="5:5" ht="15" customHeight="1" x14ac:dyDescent="0.25">
      <c r="E501" s="641"/>
    </row>
    <row r="502" spans="5:5" ht="15" customHeight="1" x14ac:dyDescent="0.25">
      <c r="E502" s="641"/>
    </row>
    <row r="503" spans="5:5" ht="15" customHeight="1" x14ac:dyDescent="0.25">
      <c r="E503" s="641"/>
    </row>
    <row r="504" spans="5:5" ht="15" customHeight="1" x14ac:dyDescent="0.25">
      <c r="E504" s="641"/>
    </row>
    <row r="505" spans="5:5" ht="15" customHeight="1" x14ac:dyDescent="0.25">
      <c r="E505" s="641"/>
    </row>
    <row r="506" spans="5:5" ht="15" customHeight="1" x14ac:dyDescent="0.25">
      <c r="E506" s="641"/>
    </row>
    <row r="507" spans="5:5" ht="15" customHeight="1" x14ac:dyDescent="0.25">
      <c r="E507" s="641"/>
    </row>
    <row r="508" spans="5:5" ht="15" customHeight="1" x14ac:dyDescent="0.25">
      <c r="E508" s="641"/>
    </row>
    <row r="509" spans="5:5" ht="15" customHeight="1" x14ac:dyDescent="0.25">
      <c r="E509" s="641"/>
    </row>
    <row r="510" spans="5:5" ht="15" customHeight="1" x14ac:dyDescent="0.25">
      <c r="E510" s="641"/>
    </row>
    <row r="511" spans="5:5" ht="15" customHeight="1" x14ac:dyDescent="0.25">
      <c r="E511" s="641"/>
    </row>
    <row r="512" spans="5:5" ht="15" customHeight="1" x14ac:dyDescent="0.25">
      <c r="E512" s="641"/>
    </row>
    <row r="513" spans="5:5" ht="15" customHeight="1" x14ac:dyDescent="0.25">
      <c r="E513" s="641"/>
    </row>
    <row r="514" spans="5:5" ht="15" customHeight="1" x14ac:dyDescent="0.25">
      <c r="E514" s="641"/>
    </row>
    <row r="515" spans="5:5" ht="15" customHeight="1" x14ac:dyDescent="0.25">
      <c r="E515" s="641"/>
    </row>
    <row r="516" spans="5:5" ht="15" customHeight="1" x14ac:dyDescent="0.25">
      <c r="E516" s="641"/>
    </row>
    <row r="517" spans="5:5" ht="15" customHeight="1" x14ac:dyDescent="0.25">
      <c r="E517" s="641"/>
    </row>
    <row r="518" spans="5:5" ht="15" customHeight="1" x14ac:dyDescent="0.25">
      <c r="E518" s="641"/>
    </row>
    <row r="519" spans="5:5" ht="15" customHeight="1" x14ac:dyDescent="0.25">
      <c r="E519" s="641"/>
    </row>
    <row r="520" spans="5:5" ht="15" customHeight="1" x14ac:dyDescent="0.25">
      <c r="E520" s="641"/>
    </row>
    <row r="521" spans="5:5" ht="15" customHeight="1" x14ac:dyDescent="0.25">
      <c r="E521" s="641"/>
    </row>
    <row r="522" spans="5:5" ht="15" customHeight="1" x14ac:dyDescent="0.25">
      <c r="E522" s="641"/>
    </row>
    <row r="523" spans="5:5" ht="15" customHeight="1" x14ac:dyDescent="0.25">
      <c r="E523" s="641"/>
    </row>
    <row r="524" spans="5:5" ht="15" customHeight="1" x14ac:dyDescent="0.25">
      <c r="E524" s="641"/>
    </row>
    <row r="525" spans="5:5" ht="15" customHeight="1" x14ac:dyDescent="0.25">
      <c r="E525" s="641"/>
    </row>
    <row r="526" spans="5:5" ht="15" customHeight="1" x14ac:dyDescent="0.25">
      <c r="E526" s="641"/>
    </row>
    <row r="527" spans="5:5" ht="15" customHeight="1" x14ac:dyDescent="0.25">
      <c r="E527" s="641"/>
    </row>
    <row r="528" spans="5:5" ht="15" customHeight="1" x14ac:dyDescent="0.25">
      <c r="E528" s="641"/>
    </row>
    <row r="529" spans="5:5" ht="15" customHeight="1" x14ac:dyDescent="0.25">
      <c r="E529" s="641"/>
    </row>
    <row r="530" spans="5:5" ht="15" customHeight="1" x14ac:dyDescent="0.25">
      <c r="E530" s="641"/>
    </row>
    <row r="531" spans="5:5" ht="15" customHeight="1" x14ac:dyDescent="0.25">
      <c r="E531" s="641"/>
    </row>
    <row r="532" spans="5:5" ht="15" customHeight="1" x14ac:dyDescent="0.25">
      <c r="E532" s="641"/>
    </row>
    <row r="533" spans="5:5" ht="15" customHeight="1" x14ac:dyDescent="0.25">
      <c r="E533" s="641"/>
    </row>
    <row r="534" spans="5:5" ht="15" customHeight="1" x14ac:dyDescent="0.25">
      <c r="E534" s="641"/>
    </row>
    <row r="535" spans="5:5" ht="15" customHeight="1" x14ac:dyDescent="0.25">
      <c r="E535" s="641"/>
    </row>
    <row r="536" spans="5:5" ht="15" customHeight="1" x14ac:dyDescent="0.25">
      <c r="E536" s="641"/>
    </row>
    <row r="537" spans="5:5" ht="15" customHeight="1" x14ac:dyDescent="0.25">
      <c r="E537" s="641"/>
    </row>
    <row r="538" spans="5:5" ht="15" customHeight="1" x14ac:dyDescent="0.25">
      <c r="E538" s="641"/>
    </row>
    <row r="539" spans="5:5" ht="15" customHeight="1" x14ac:dyDescent="0.25">
      <c r="E539" s="641"/>
    </row>
    <row r="540" spans="5:5" ht="15" customHeight="1" x14ac:dyDescent="0.25">
      <c r="E540" s="641"/>
    </row>
    <row r="541" spans="5:5" ht="15" customHeight="1" x14ac:dyDescent="0.25">
      <c r="E541" s="641"/>
    </row>
    <row r="542" spans="5:5" ht="15" customHeight="1" x14ac:dyDescent="0.25">
      <c r="E542" s="641"/>
    </row>
    <row r="543" spans="5:5" ht="15" customHeight="1" x14ac:dyDescent="0.25">
      <c r="E543" s="641"/>
    </row>
    <row r="544" spans="5:5" ht="15" customHeight="1" x14ac:dyDescent="0.25">
      <c r="E544" s="641"/>
    </row>
    <row r="545" spans="5:5" ht="15" customHeight="1" x14ac:dyDescent="0.25">
      <c r="E545" s="641"/>
    </row>
    <row r="546" spans="5:5" ht="15" customHeight="1" x14ac:dyDescent="0.25">
      <c r="E546" s="641"/>
    </row>
    <row r="547" spans="5:5" ht="15" customHeight="1" x14ac:dyDescent="0.25">
      <c r="E547" s="641"/>
    </row>
    <row r="548" spans="5:5" ht="15" customHeight="1" x14ac:dyDescent="0.25">
      <c r="E548" s="641"/>
    </row>
    <row r="549" spans="5:5" ht="15" customHeight="1" x14ac:dyDescent="0.25">
      <c r="E549" s="641"/>
    </row>
    <row r="550" spans="5:5" ht="15" customHeight="1" x14ac:dyDescent="0.25">
      <c r="E550" s="641"/>
    </row>
    <row r="551" spans="5:5" ht="15" customHeight="1" x14ac:dyDescent="0.25">
      <c r="E551" s="641"/>
    </row>
    <row r="552" spans="5:5" ht="15" customHeight="1" x14ac:dyDescent="0.25">
      <c r="E552" s="641"/>
    </row>
    <row r="553" spans="5:5" ht="15" customHeight="1" x14ac:dyDescent="0.25">
      <c r="E553" s="641"/>
    </row>
    <row r="554" spans="5:5" ht="15" customHeight="1" x14ac:dyDescent="0.25">
      <c r="E554" s="641"/>
    </row>
    <row r="555" spans="5:5" ht="15" customHeight="1" x14ac:dyDescent="0.25">
      <c r="E555" s="641"/>
    </row>
    <row r="556" spans="5:5" ht="15" customHeight="1" x14ac:dyDescent="0.25">
      <c r="E556" s="641"/>
    </row>
    <row r="557" spans="5:5" ht="15" customHeight="1" x14ac:dyDescent="0.25">
      <c r="E557" s="641"/>
    </row>
    <row r="558" spans="5:5" ht="15" customHeight="1" x14ac:dyDescent="0.25">
      <c r="E558" s="641"/>
    </row>
    <row r="559" spans="5:5" ht="15" customHeight="1" x14ac:dyDescent="0.25">
      <c r="E559" s="641"/>
    </row>
    <row r="560" spans="5:5" ht="15" customHeight="1" x14ac:dyDescent="0.25">
      <c r="E560" s="641"/>
    </row>
    <row r="561" spans="5:5" ht="15" customHeight="1" x14ac:dyDescent="0.25">
      <c r="E561" s="641"/>
    </row>
    <row r="562" spans="5:5" ht="15" customHeight="1" x14ac:dyDescent="0.25">
      <c r="E562" s="641"/>
    </row>
    <row r="563" spans="5:5" ht="15" customHeight="1" x14ac:dyDescent="0.25">
      <c r="E563" s="641"/>
    </row>
    <row r="564" spans="5:5" ht="15" customHeight="1" x14ac:dyDescent="0.25">
      <c r="E564" s="641"/>
    </row>
    <row r="565" spans="5:5" ht="15" customHeight="1" x14ac:dyDescent="0.25">
      <c r="E565" s="641"/>
    </row>
    <row r="566" spans="5:5" ht="15" customHeight="1" x14ac:dyDescent="0.25">
      <c r="E566" s="641"/>
    </row>
    <row r="567" spans="5:5" ht="15" customHeight="1" x14ac:dyDescent="0.25">
      <c r="E567" s="641"/>
    </row>
    <row r="568" spans="5:5" ht="15" customHeight="1" x14ac:dyDescent="0.25">
      <c r="E568" s="641"/>
    </row>
    <row r="569" spans="5:5" ht="15" customHeight="1" x14ac:dyDescent="0.25">
      <c r="E569" s="641"/>
    </row>
    <row r="570" spans="5:5" ht="15" customHeight="1" x14ac:dyDescent="0.25">
      <c r="E570" s="641"/>
    </row>
    <row r="571" spans="5:5" ht="15" customHeight="1" x14ac:dyDescent="0.25">
      <c r="E571" s="641"/>
    </row>
    <row r="572" spans="5:5" ht="15" customHeight="1" x14ac:dyDescent="0.25">
      <c r="E572" s="641"/>
    </row>
    <row r="573" spans="5:5" ht="15" customHeight="1" x14ac:dyDescent="0.25">
      <c r="E573" s="641"/>
    </row>
    <row r="574" spans="5:5" ht="15" customHeight="1" x14ac:dyDescent="0.25">
      <c r="E574" s="641"/>
    </row>
    <row r="575" spans="5:5" ht="15" customHeight="1" x14ac:dyDescent="0.25">
      <c r="E575" s="641"/>
    </row>
    <row r="576" spans="5:5" ht="15" customHeight="1" x14ac:dyDescent="0.25">
      <c r="E576" s="641"/>
    </row>
    <row r="577" spans="5:5" ht="15" customHeight="1" x14ac:dyDescent="0.25">
      <c r="E577" s="641"/>
    </row>
    <row r="578" spans="5:5" ht="15" customHeight="1" x14ac:dyDescent="0.25">
      <c r="E578" s="641"/>
    </row>
    <row r="579" spans="5:5" ht="15" customHeight="1" x14ac:dyDescent="0.25">
      <c r="E579" s="641"/>
    </row>
    <row r="580" spans="5:5" ht="15" customHeight="1" x14ac:dyDescent="0.25">
      <c r="E580" s="641"/>
    </row>
    <row r="581" spans="5:5" ht="15" customHeight="1" x14ac:dyDescent="0.25">
      <c r="E581" s="641"/>
    </row>
    <row r="582" spans="5:5" ht="15" customHeight="1" x14ac:dyDescent="0.25">
      <c r="E582" s="641"/>
    </row>
    <row r="583" spans="5:5" ht="15" customHeight="1" x14ac:dyDescent="0.25">
      <c r="E583" s="641"/>
    </row>
    <row r="584" spans="5:5" ht="15" customHeight="1" x14ac:dyDescent="0.25">
      <c r="E584" s="641"/>
    </row>
    <row r="585" spans="5:5" ht="15" customHeight="1" x14ac:dyDescent="0.25">
      <c r="E585" s="641"/>
    </row>
    <row r="586" spans="5:5" ht="15" customHeight="1" x14ac:dyDescent="0.25">
      <c r="E586" s="641"/>
    </row>
    <row r="587" spans="5:5" ht="15" customHeight="1" x14ac:dyDescent="0.25">
      <c r="E587" s="641"/>
    </row>
    <row r="588" spans="5:5" ht="15" customHeight="1" x14ac:dyDescent="0.25">
      <c r="E588" s="641"/>
    </row>
    <row r="589" spans="5:5" ht="15" customHeight="1" x14ac:dyDescent="0.25">
      <c r="E589" s="641"/>
    </row>
    <row r="590" spans="5:5" ht="15" customHeight="1" x14ac:dyDescent="0.25">
      <c r="E590" s="641"/>
    </row>
    <row r="591" spans="5:5" ht="15" customHeight="1" x14ac:dyDescent="0.25">
      <c r="E591" s="641"/>
    </row>
    <row r="592" spans="5:5" ht="15" customHeight="1" x14ac:dyDescent="0.25">
      <c r="E592" s="641"/>
    </row>
    <row r="593" spans="5:5" ht="15" customHeight="1" x14ac:dyDescent="0.25">
      <c r="E593" s="641"/>
    </row>
    <row r="594" spans="5:5" ht="15" customHeight="1" x14ac:dyDescent="0.25">
      <c r="E594" s="641"/>
    </row>
    <row r="595" spans="5:5" ht="15" customHeight="1" x14ac:dyDescent="0.25">
      <c r="E595" s="641"/>
    </row>
    <row r="596" spans="5:5" ht="15" customHeight="1" x14ac:dyDescent="0.25">
      <c r="E596" s="641"/>
    </row>
    <row r="597" spans="5:5" ht="15" customHeight="1" x14ac:dyDescent="0.25">
      <c r="E597" s="641"/>
    </row>
    <row r="598" spans="5:5" ht="15" customHeight="1" x14ac:dyDescent="0.25">
      <c r="E598" s="641"/>
    </row>
    <row r="599" spans="5:5" ht="15" customHeight="1" x14ac:dyDescent="0.25">
      <c r="E599" s="641"/>
    </row>
    <row r="600" spans="5:5" ht="15" customHeight="1" x14ac:dyDescent="0.25">
      <c r="E600" s="641"/>
    </row>
    <row r="601" spans="5:5" ht="15" customHeight="1" x14ac:dyDescent="0.25">
      <c r="E601" s="641"/>
    </row>
    <row r="602" spans="5:5" ht="15" customHeight="1" x14ac:dyDescent="0.25">
      <c r="E602" s="641"/>
    </row>
    <row r="603" spans="5:5" ht="15" customHeight="1" x14ac:dyDescent="0.25">
      <c r="E603" s="641"/>
    </row>
    <row r="604" spans="5:5" ht="15" customHeight="1" x14ac:dyDescent="0.25">
      <c r="E604" s="641"/>
    </row>
    <row r="605" spans="5:5" ht="15" customHeight="1" x14ac:dyDescent="0.25">
      <c r="E605" s="641"/>
    </row>
    <row r="606" spans="5:5" ht="15" customHeight="1" x14ac:dyDescent="0.25">
      <c r="E606" s="641"/>
    </row>
    <row r="607" spans="5:5" ht="15" customHeight="1" x14ac:dyDescent="0.25">
      <c r="E607" s="641"/>
    </row>
    <row r="608" spans="5:5" ht="15" customHeight="1" x14ac:dyDescent="0.25">
      <c r="E608" s="641"/>
    </row>
    <row r="609" spans="5:5" ht="15" customHeight="1" x14ac:dyDescent="0.25">
      <c r="E609" s="641"/>
    </row>
    <row r="610" spans="5:5" ht="15" customHeight="1" x14ac:dyDescent="0.25">
      <c r="E610" s="641"/>
    </row>
    <row r="611" spans="5:5" ht="15" customHeight="1" x14ac:dyDescent="0.25">
      <c r="E611" s="641"/>
    </row>
    <row r="612" spans="5:5" ht="15" customHeight="1" x14ac:dyDescent="0.25">
      <c r="E612" s="641"/>
    </row>
    <row r="613" spans="5:5" ht="15" customHeight="1" x14ac:dyDescent="0.25">
      <c r="E613" s="641"/>
    </row>
    <row r="614" spans="5:5" ht="15" customHeight="1" x14ac:dyDescent="0.25">
      <c r="E614" s="641"/>
    </row>
    <row r="615" spans="5:5" ht="15" customHeight="1" x14ac:dyDescent="0.25">
      <c r="E615" s="641"/>
    </row>
    <row r="616" spans="5:5" ht="15" customHeight="1" x14ac:dyDescent="0.25">
      <c r="E616" s="641"/>
    </row>
    <row r="617" spans="5:5" ht="15" customHeight="1" x14ac:dyDescent="0.25">
      <c r="E617" s="641"/>
    </row>
    <row r="618" spans="5:5" ht="15" customHeight="1" x14ac:dyDescent="0.25">
      <c r="E618" s="641"/>
    </row>
    <row r="619" spans="5:5" ht="15" customHeight="1" x14ac:dyDescent="0.25">
      <c r="E619" s="641"/>
    </row>
    <row r="620" spans="5:5" ht="15" customHeight="1" x14ac:dyDescent="0.25">
      <c r="E620" s="641"/>
    </row>
    <row r="621" spans="5:5" ht="15" customHeight="1" x14ac:dyDescent="0.25">
      <c r="E621" s="641"/>
    </row>
    <row r="622" spans="5:5" ht="15" customHeight="1" x14ac:dyDescent="0.25">
      <c r="E622" s="641"/>
    </row>
    <row r="623" spans="5:5" ht="15" customHeight="1" x14ac:dyDescent="0.25">
      <c r="E623" s="641"/>
    </row>
    <row r="624" spans="5:5" ht="15" customHeight="1" x14ac:dyDescent="0.25">
      <c r="E624" s="641"/>
    </row>
    <row r="625" spans="5:5" ht="15" customHeight="1" x14ac:dyDescent="0.25">
      <c r="E625" s="641"/>
    </row>
    <row r="626" spans="5:5" ht="15" customHeight="1" x14ac:dyDescent="0.25">
      <c r="E626" s="641"/>
    </row>
    <row r="627" spans="5:5" ht="15" customHeight="1" x14ac:dyDescent="0.25">
      <c r="E627" s="641"/>
    </row>
    <row r="628" spans="5:5" ht="15" customHeight="1" x14ac:dyDescent="0.25">
      <c r="E628" s="641"/>
    </row>
    <row r="629" spans="5:5" ht="15" customHeight="1" x14ac:dyDescent="0.25">
      <c r="E629" s="641"/>
    </row>
    <row r="630" spans="5:5" ht="15" customHeight="1" x14ac:dyDescent="0.25">
      <c r="E630" s="641"/>
    </row>
    <row r="631" spans="5:5" ht="15" customHeight="1" x14ac:dyDescent="0.25">
      <c r="E631" s="641"/>
    </row>
    <row r="632" spans="5:5" ht="15" customHeight="1" x14ac:dyDescent="0.25">
      <c r="E632" s="641"/>
    </row>
    <row r="633" spans="5:5" ht="15" customHeight="1" x14ac:dyDescent="0.25">
      <c r="E633" s="641"/>
    </row>
    <row r="634" spans="5:5" ht="15" customHeight="1" x14ac:dyDescent="0.25">
      <c r="E634" s="641"/>
    </row>
    <row r="635" spans="5:5" ht="15" customHeight="1" x14ac:dyDescent="0.25">
      <c r="E635" s="641"/>
    </row>
    <row r="636" spans="5:5" ht="15" customHeight="1" x14ac:dyDescent="0.25">
      <c r="E636" s="641"/>
    </row>
    <row r="637" spans="5:5" ht="15" customHeight="1" x14ac:dyDescent="0.25">
      <c r="E637" s="641"/>
    </row>
    <row r="638" spans="5:5" ht="15" customHeight="1" x14ac:dyDescent="0.25">
      <c r="E638" s="641"/>
    </row>
    <row r="639" spans="5:5" ht="15" customHeight="1" x14ac:dyDescent="0.25">
      <c r="E639" s="641"/>
    </row>
    <row r="640" spans="5:5" ht="15" customHeight="1" x14ac:dyDescent="0.25">
      <c r="E640" s="641"/>
    </row>
    <row r="641" spans="5:5" ht="15" customHeight="1" x14ac:dyDescent="0.25">
      <c r="E641" s="641"/>
    </row>
    <row r="642" spans="5:5" ht="15" customHeight="1" x14ac:dyDescent="0.25">
      <c r="E642" s="641"/>
    </row>
    <row r="643" spans="5:5" ht="15" customHeight="1" x14ac:dyDescent="0.25">
      <c r="E643" s="641"/>
    </row>
    <row r="644" spans="5:5" ht="15" customHeight="1" x14ac:dyDescent="0.25">
      <c r="E644" s="641"/>
    </row>
    <row r="645" spans="5:5" ht="15" customHeight="1" x14ac:dyDescent="0.25">
      <c r="E645" s="641"/>
    </row>
    <row r="646" spans="5:5" ht="15" customHeight="1" x14ac:dyDescent="0.25">
      <c r="E646" s="641"/>
    </row>
    <row r="647" spans="5:5" ht="15" customHeight="1" x14ac:dyDescent="0.25">
      <c r="E647" s="641"/>
    </row>
    <row r="648" spans="5:5" ht="15" customHeight="1" x14ac:dyDescent="0.25">
      <c r="E648" s="641"/>
    </row>
    <row r="649" spans="5:5" ht="15" customHeight="1" x14ac:dyDescent="0.25">
      <c r="E649" s="641"/>
    </row>
    <row r="650" spans="5:5" ht="15" customHeight="1" x14ac:dyDescent="0.25">
      <c r="E650" s="641"/>
    </row>
    <row r="651" spans="5:5" ht="15" customHeight="1" x14ac:dyDescent="0.25">
      <c r="E651" s="641"/>
    </row>
    <row r="652" spans="5:5" ht="15" customHeight="1" x14ac:dyDescent="0.25">
      <c r="E652" s="641"/>
    </row>
    <row r="653" spans="5:5" ht="15" customHeight="1" x14ac:dyDescent="0.25">
      <c r="E653" s="641"/>
    </row>
    <row r="654" spans="5:5" ht="15" customHeight="1" x14ac:dyDescent="0.25">
      <c r="E654" s="641"/>
    </row>
    <row r="655" spans="5:5" ht="15" customHeight="1" x14ac:dyDescent="0.25">
      <c r="E655" s="641"/>
    </row>
    <row r="656" spans="5:5" ht="15" customHeight="1" x14ac:dyDescent="0.25">
      <c r="E656" s="641"/>
    </row>
    <row r="657" spans="5:5" ht="15" customHeight="1" x14ac:dyDescent="0.25">
      <c r="E657" s="641"/>
    </row>
    <row r="658" spans="5:5" ht="15" customHeight="1" x14ac:dyDescent="0.25">
      <c r="E658" s="641"/>
    </row>
    <row r="659" spans="5:5" ht="15" customHeight="1" x14ac:dyDescent="0.25">
      <c r="E659" s="641"/>
    </row>
    <row r="660" spans="5:5" ht="15" customHeight="1" x14ac:dyDescent="0.25">
      <c r="E660" s="641"/>
    </row>
    <row r="661" spans="5:5" ht="15" customHeight="1" x14ac:dyDescent="0.25">
      <c r="E661" s="641"/>
    </row>
    <row r="662" spans="5:5" ht="15" customHeight="1" x14ac:dyDescent="0.25">
      <c r="E662" s="641"/>
    </row>
    <row r="663" spans="5:5" ht="15" customHeight="1" x14ac:dyDescent="0.25">
      <c r="E663" s="641"/>
    </row>
    <row r="664" spans="5:5" ht="15" customHeight="1" x14ac:dyDescent="0.25">
      <c r="E664" s="641"/>
    </row>
    <row r="665" spans="5:5" ht="15" customHeight="1" x14ac:dyDescent="0.25">
      <c r="E665" s="641"/>
    </row>
    <row r="666" spans="5:5" ht="15" customHeight="1" x14ac:dyDescent="0.25">
      <c r="E666" s="641"/>
    </row>
    <row r="667" spans="5:5" ht="15" customHeight="1" x14ac:dyDescent="0.25">
      <c r="E667" s="641"/>
    </row>
    <row r="668" spans="5:5" ht="15" customHeight="1" x14ac:dyDescent="0.25">
      <c r="E668" s="641"/>
    </row>
    <row r="669" spans="5:5" ht="15" customHeight="1" x14ac:dyDescent="0.25">
      <c r="E669" s="641"/>
    </row>
    <row r="670" spans="5:5" ht="15" customHeight="1" x14ac:dyDescent="0.25">
      <c r="E670" s="641"/>
    </row>
    <row r="671" spans="5:5" ht="15" customHeight="1" x14ac:dyDescent="0.25">
      <c r="E671" s="641"/>
    </row>
    <row r="672" spans="5:5" ht="15" customHeight="1" x14ac:dyDescent="0.25">
      <c r="E672" s="641"/>
    </row>
    <row r="673" spans="5:5" ht="15" customHeight="1" x14ac:dyDescent="0.25">
      <c r="E673" s="641"/>
    </row>
    <row r="674" spans="5:5" ht="15" customHeight="1" x14ac:dyDescent="0.25">
      <c r="E674" s="641"/>
    </row>
    <row r="675" spans="5:5" ht="15" customHeight="1" x14ac:dyDescent="0.25">
      <c r="E675" s="641"/>
    </row>
    <row r="676" spans="5:5" ht="15" customHeight="1" x14ac:dyDescent="0.25">
      <c r="E676" s="641"/>
    </row>
    <row r="677" spans="5:5" ht="15" customHeight="1" x14ac:dyDescent="0.25">
      <c r="E677" s="641"/>
    </row>
    <row r="678" spans="5:5" ht="15" customHeight="1" x14ac:dyDescent="0.25">
      <c r="E678" s="641"/>
    </row>
    <row r="679" spans="5:5" ht="15" customHeight="1" x14ac:dyDescent="0.25">
      <c r="E679" s="641"/>
    </row>
    <row r="680" spans="5:5" ht="15" customHeight="1" x14ac:dyDescent="0.25">
      <c r="E680" s="641"/>
    </row>
    <row r="681" spans="5:5" ht="15" customHeight="1" x14ac:dyDescent="0.25">
      <c r="E681" s="641"/>
    </row>
    <row r="682" spans="5:5" ht="15" customHeight="1" x14ac:dyDescent="0.25">
      <c r="E682" s="641"/>
    </row>
    <row r="683" spans="5:5" ht="15" customHeight="1" x14ac:dyDescent="0.25">
      <c r="E683" s="641"/>
    </row>
    <row r="684" spans="5:5" ht="15" customHeight="1" x14ac:dyDescent="0.25">
      <c r="E684" s="641"/>
    </row>
    <row r="685" spans="5:5" ht="15" customHeight="1" x14ac:dyDescent="0.25">
      <c r="E685" s="641"/>
    </row>
    <row r="686" spans="5:5" ht="15" customHeight="1" x14ac:dyDescent="0.25">
      <c r="E686" s="641"/>
    </row>
    <row r="687" spans="5:5" ht="15" customHeight="1" x14ac:dyDescent="0.25">
      <c r="E687" s="641"/>
    </row>
    <row r="688" spans="5:5" ht="15" customHeight="1" x14ac:dyDescent="0.25">
      <c r="E688" s="641"/>
    </row>
    <row r="689" spans="5:5" ht="15" customHeight="1" x14ac:dyDescent="0.25">
      <c r="E689" s="641"/>
    </row>
    <row r="690" spans="5:5" ht="15" customHeight="1" x14ac:dyDescent="0.25">
      <c r="E690" s="641"/>
    </row>
    <row r="691" spans="5:5" ht="15" customHeight="1" x14ac:dyDescent="0.25">
      <c r="E691" s="641"/>
    </row>
    <row r="692" spans="5:5" ht="15" customHeight="1" x14ac:dyDescent="0.25">
      <c r="E692" s="641"/>
    </row>
    <row r="693" spans="5:5" ht="15" customHeight="1" x14ac:dyDescent="0.25">
      <c r="E693" s="641"/>
    </row>
    <row r="694" spans="5:5" ht="15" customHeight="1" x14ac:dyDescent="0.25">
      <c r="E694" s="641"/>
    </row>
    <row r="695" spans="5:5" ht="15" customHeight="1" x14ac:dyDescent="0.25">
      <c r="E695" s="641"/>
    </row>
    <row r="696" spans="5:5" ht="15" customHeight="1" x14ac:dyDescent="0.25">
      <c r="E696" s="641"/>
    </row>
    <row r="697" spans="5:5" ht="15" customHeight="1" x14ac:dyDescent="0.25">
      <c r="E697" s="641"/>
    </row>
    <row r="698" spans="5:5" ht="15" customHeight="1" x14ac:dyDescent="0.25">
      <c r="E698" s="641"/>
    </row>
    <row r="699" spans="5:5" ht="15" customHeight="1" x14ac:dyDescent="0.25">
      <c r="E699" s="641"/>
    </row>
    <row r="700" spans="5:5" ht="15" customHeight="1" x14ac:dyDescent="0.25">
      <c r="E700" s="641"/>
    </row>
    <row r="701" spans="5:5" ht="15" customHeight="1" x14ac:dyDescent="0.25">
      <c r="E701" s="641"/>
    </row>
    <row r="702" spans="5:5" ht="15" customHeight="1" x14ac:dyDescent="0.25">
      <c r="E702" s="641"/>
    </row>
    <row r="703" spans="5:5" ht="15" customHeight="1" x14ac:dyDescent="0.25">
      <c r="E703" s="641"/>
    </row>
    <row r="704" spans="5:5" ht="15" customHeight="1" x14ac:dyDescent="0.25">
      <c r="E704" s="641"/>
    </row>
    <row r="705" spans="5:5" ht="15" customHeight="1" x14ac:dyDescent="0.25">
      <c r="E705" s="641"/>
    </row>
    <row r="706" spans="5:5" ht="15" customHeight="1" x14ac:dyDescent="0.25">
      <c r="E706" s="641"/>
    </row>
    <row r="707" spans="5:5" ht="15" customHeight="1" x14ac:dyDescent="0.25">
      <c r="E707" s="641"/>
    </row>
    <row r="708" spans="5:5" ht="15" customHeight="1" x14ac:dyDescent="0.25">
      <c r="E708" s="641"/>
    </row>
    <row r="709" spans="5:5" ht="15" customHeight="1" x14ac:dyDescent="0.25">
      <c r="E709" s="641"/>
    </row>
    <row r="710" spans="5:5" ht="15" customHeight="1" x14ac:dyDescent="0.25">
      <c r="E710" s="641"/>
    </row>
    <row r="711" spans="5:5" ht="15" customHeight="1" x14ac:dyDescent="0.25">
      <c r="E711" s="641"/>
    </row>
    <row r="712" spans="5:5" ht="15" customHeight="1" x14ac:dyDescent="0.25">
      <c r="E712" s="641"/>
    </row>
    <row r="713" spans="5:5" ht="15" customHeight="1" x14ac:dyDescent="0.25">
      <c r="E713" s="641"/>
    </row>
    <row r="714" spans="5:5" ht="15" customHeight="1" x14ac:dyDescent="0.25">
      <c r="E714" s="641"/>
    </row>
    <row r="715" spans="5:5" ht="15" customHeight="1" x14ac:dyDescent="0.25">
      <c r="E715" s="641"/>
    </row>
    <row r="716" spans="5:5" ht="15" customHeight="1" x14ac:dyDescent="0.25">
      <c r="E716" s="641"/>
    </row>
    <row r="717" spans="5:5" ht="15" customHeight="1" x14ac:dyDescent="0.25">
      <c r="E717" s="641"/>
    </row>
    <row r="718" spans="5:5" ht="15" customHeight="1" x14ac:dyDescent="0.25">
      <c r="E718" s="641"/>
    </row>
    <row r="719" spans="5:5" ht="15" customHeight="1" x14ac:dyDescent="0.25">
      <c r="E719" s="641"/>
    </row>
    <row r="720" spans="5:5" ht="15" customHeight="1" x14ac:dyDescent="0.25">
      <c r="E720" s="641"/>
    </row>
    <row r="721" spans="5:5" ht="15" customHeight="1" x14ac:dyDescent="0.25">
      <c r="E721" s="641"/>
    </row>
    <row r="722" spans="5:5" ht="15" customHeight="1" x14ac:dyDescent="0.25">
      <c r="E722" s="641"/>
    </row>
    <row r="723" spans="5:5" ht="15" customHeight="1" x14ac:dyDescent="0.25">
      <c r="E723" s="641"/>
    </row>
    <row r="724" spans="5:5" ht="15" customHeight="1" x14ac:dyDescent="0.25">
      <c r="E724" s="641"/>
    </row>
    <row r="725" spans="5:5" ht="15" customHeight="1" x14ac:dyDescent="0.25">
      <c r="E725" s="641"/>
    </row>
    <row r="726" spans="5:5" ht="15" customHeight="1" x14ac:dyDescent="0.25">
      <c r="E726" s="641"/>
    </row>
    <row r="727" spans="5:5" ht="15" customHeight="1" x14ac:dyDescent="0.25">
      <c r="E727" s="641"/>
    </row>
    <row r="728" spans="5:5" ht="15" customHeight="1" x14ac:dyDescent="0.25">
      <c r="E728" s="641"/>
    </row>
    <row r="729" spans="5:5" ht="15" customHeight="1" x14ac:dyDescent="0.25">
      <c r="E729" s="641"/>
    </row>
    <row r="730" spans="5:5" ht="15" customHeight="1" x14ac:dyDescent="0.25">
      <c r="E730" s="641"/>
    </row>
    <row r="731" spans="5:5" ht="15" customHeight="1" x14ac:dyDescent="0.25">
      <c r="E731" s="641"/>
    </row>
    <row r="732" spans="5:5" ht="15" customHeight="1" x14ac:dyDescent="0.25">
      <c r="E732" s="641"/>
    </row>
    <row r="733" spans="5:5" ht="15" customHeight="1" x14ac:dyDescent="0.25">
      <c r="E733" s="641"/>
    </row>
    <row r="734" spans="5:5" ht="15" customHeight="1" x14ac:dyDescent="0.25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84"/>
  <sheetViews>
    <sheetView showGridLines="0" tabSelected="1" zoomScale="60" zoomScaleNormal="60" workbookViewId="0">
      <pane ySplit="2" topLeftCell="A3941" activePane="bottomLeft" state="frozen"/>
      <selection pane="bottomLeft" activeCell="H2" sqref="H2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 x14ac:dyDescent="0.25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 x14ac:dyDescent="0.25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 x14ac:dyDescent="0.25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 x14ac:dyDescent="0.25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 x14ac:dyDescent="0.25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 x14ac:dyDescent="0.25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 x14ac:dyDescent="0.25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 x14ac:dyDescent="0.25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 x14ac:dyDescent="0.25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 x14ac:dyDescent="0.25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 x14ac:dyDescent="0.25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 x14ac:dyDescent="0.25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 x14ac:dyDescent="0.25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 x14ac:dyDescent="0.25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 x14ac:dyDescent="0.25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 x14ac:dyDescent="0.25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 x14ac:dyDescent="0.25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 x14ac:dyDescent="0.25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 x14ac:dyDescent="0.25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 x14ac:dyDescent="0.25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 x14ac:dyDescent="0.25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 x14ac:dyDescent="0.25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 x14ac:dyDescent="0.25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 x14ac:dyDescent="0.25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 x14ac:dyDescent="0.25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 x14ac:dyDescent="0.25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 x14ac:dyDescent="0.25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 x14ac:dyDescent="0.25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 x14ac:dyDescent="0.25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 x14ac:dyDescent="0.25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 x14ac:dyDescent="0.25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 x14ac:dyDescent="0.25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 x14ac:dyDescent="0.25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 x14ac:dyDescent="0.25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 x14ac:dyDescent="0.25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 x14ac:dyDescent="0.25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 x14ac:dyDescent="0.25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 x14ac:dyDescent="0.25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 x14ac:dyDescent="0.25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 x14ac:dyDescent="0.25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 x14ac:dyDescent="0.25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 x14ac:dyDescent="0.25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 x14ac:dyDescent="0.25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 x14ac:dyDescent="0.25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 x14ac:dyDescent="0.25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 x14ac:dyDescent="0.25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 x14ac:dyDescent="0.25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 x14ac:dyDescent="0.25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 x14ac:dyDescent="0.25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 x14ac:dyDescent="0.25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 x14ac:dyDescent="0.25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 x14ac:dyDescent="0.25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 x14ac:dyDescent="0.25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 x14ac:dyDescent="0.25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 x14ac:dyDescent="0.25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 x14ac:dyDescent="0.25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 x14ac:dyDescent="0.25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 x14ac:dyDescent="0.25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 x14ac:dyDescent="0.25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 x14ac:dyDescent="0.25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 x14ac:dyDescent="0.25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 x14ac:dyDescent="0.25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 x14ac:dyDescent="0.25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 x14ac:dyDescent="0.25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 x14ac:dyDescent="0.25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 x14ac:dyDescent="0.25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 x14ac:dyDescent="0.25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 x14ac:dyDescent="0.25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 x14ac:dyDescent="0.25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 x14ac:dyDescent="0.25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 x14ac:dyDescent="0.25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 x14ac:dyDescent="0.25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 x14ac:dyDescent="0.25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 x14ac:dyDescent="0.25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 x14ac:dyDescent="0.25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 x14ac:dyDescent="0.25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 x14ac:dyDescent="0.25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 x14ac:dyDescent="0.25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 x14ac:dyDescent="0.25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 x14ac:dyDescent="0.25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 x14ac:dyDescent="0.25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 x14ac:dyDescent="0.25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 x14ac:dyDescent="0.25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 x14ac:dyDescent="0.25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 x14ac:dyDescent="0.25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 x14ac:dyDescent="0.25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 x14ac:dyDescent="0.25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 x14ac:dyDescent="0.25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 x14ac:dyDescent="0.25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 x14ac:dyDescent="0.25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 x14ac:dyDescent="0.25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 x14ac:dyDescent="0.25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 x14ac:dyDescent="0.25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 x14ac:dyDescent="0.25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 x14ac:dyDescent="0.25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 x14ac:dyDescent="0.25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 x14ac:dyDescent="0.25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 x14ac:dyDescent="0.25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 x14ac:dyDescent="0.25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 x14ac:dyDescent="0.25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 x14ac:dyDescent="0.25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 x14ac:dyDescent="0.25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 x14ac:dyDescent="0.25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 x14ac:dyDescent="0.25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 x14ac:dyDescent="0.25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 x14ac:dyDescent="0.25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 x14ac:dyDescent="0.25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 x14ac:dyDescent="0.25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 x14ac:dyDescent="0.25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 x14ac:dyDescent="0.25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 x14ac:dyDescent="0.25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 x14ac:dyDescent="0.25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 x14ac:dyDescent="0.25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 x14ac:dyDescent="0.25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 x14ac:dyDescent="0.25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 x14ac:dyDescent="0.25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 x14ac:dyDescent="0.25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 x14ac:dyDescent="0.25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 x14ac:dyDescent="0.25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 x14ac:dyDescent="0.25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 x14ac:dyDescent="0.25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 x14ac:dyDescent="0.25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 x14ac:dyDescent="0.25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 x14ac:dyDescent="0.25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 x14ac:dyDescent="0.25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 x14ac:dyDescent="0.25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 x14ac:dyDescent="0.25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 x14ac:dyDescent="0.25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 x14ac:dyDescent="0.25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 x14ac:dyDescent="0.25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 x14ac:dyDescent="0.25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 x14ac:dyDescent="0.25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 x14ac:dyDescent="0.25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 x14ac:dyDescent="0.25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 x14ac:dyDescent="0.25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 x14ac:dyDescent="0.25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 x14ac:dyDescent="0.25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 x14ac:dyDescent="0.25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 x14ac:dyDescent="0.25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 x14ac:dyDescent="0.25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 x14ac:dyDescent="0.25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 x14ac:dyDescent="0.25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 x14ac:dyDescent="0.25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 x14ac:dyDescent="0.25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 x14ac:dyDescent="0.25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 x14ac:dyDescent="0.25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 x14ac:dyDescent="0.25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 x14ac:dyDescent="0.25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 x14ac:dyDescent="0.25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 x14ac:dyDescent="0.25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 x14ac:dyDescent="0.25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 x14ac:dyDescent="0.25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 x14ac:dyDescent="0.25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 x14ac:dyDescent="0.25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 x14ac:dyDescent="0.25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 x14ac:dyDescent="0.25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 x14ac:dyDescent="0.25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 x14ac:dyDescent="0.25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 x14ac:dyDescent="0.25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 x14ac:dyDescent="0.25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 x14ac:dyDescent="0.25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 x14ac:dyDescent="0.25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 x14ac:dyDescent="0.25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 x14ac:dyDescent="0.25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 x14ac:dyDescent="0.25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 x14ac:dyDescent="0.25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 x14ac:dyDescent="0.25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 x14ac:dyDescent="0.25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 x14ac:dyDescent="0.25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 x14ac:dyDescent="0.25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 x14ac:dyDescent="0.25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 x14ac:dyDescent="0.25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 x14ac:dyDescent="0.25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 x14ac:dyDescent="0.25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 x14ac:dyDescent="0.25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 x14ac:dyDescent="0.25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 x14ac:dyDescent="0.25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 x14ac:dyDescent="0.25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 x14ac:dyDescent="0.25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 x14ac:dyDescent="0.25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 x14ac:dyDescent="0.25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 x14ac:dyDescent="0.25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 x14ac:dyDescent="0.25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 x14ac:dyDescent="0.25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 x14ac:dyDescent="0.25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 x14ac:dyDescent="0.25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 x14ac:dyDescent="0.25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 x14ac:dyDescent="0.25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 x14ac:dyDescent="0.25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 x14ac:dyDescent="0.25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 x14ac:dyDescent="0.25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 x14ac:dyDescent="0.25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 x14ac:dyDescent="0.25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 x14ac:dyDescent="0.25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 x14ac:dyDescent="0.25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 x14ac:dyDescent="0.25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 x14ac:dyDescent="0.25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 x14ac:dyDescent="0.25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 x14ac:dyDescent="0.25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 x14ac:dyDescent="0.25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 x14ac:dyDescent="0.25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 x14ac:dyDescent="0.25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 x14ac:dyDescent="0.25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 x14ac:dyDescent="0.25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 x14ac:dyDescent="0.25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 x14ac:dyDescent="0.25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 x14ac:dyDescent="0.25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 x14ac:dyDescent="0.25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 x14ac:dyDescent="0.25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 x14ac:dyDescent="0.25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 x14ac:dyDescent="0.25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 x14ac:dyDescent="0.25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 x14ac:dyDescent="0.25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 x14ac:dyDescent="0.25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 x14ac:dyDescent="0.25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 x14ac:dyDescent="0.25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 x14ac:dyDescent="0.25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 x14ac:dyDescent="0.25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 x14ac:dyDescent="0.25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 x14ac:dyDescent="0.25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 x14ac:dyDescent="0.25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 x14ac:dyDescent="0.25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 x14ac:dyDescent="0.25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 x14ac:dyDescent="0.25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 x14ac:dyDescent="0.25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 x14ac:dyDescent="0.25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 x14ac:dyDescent="0.25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 x14ac:dyDescent="0.25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 x14ac:dyDescent="0.25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 x14ac:dyDescent="0.25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 x14ac:dyDescent="0.25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 x14ac:dyDescent="0.25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 x14ac:dyDescent="0.25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 x14ac:dyDescent="0.25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 x14ac:dyDescent="0.25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 x14ac:dyDescent="0.25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 x14ac:dyDescent="0.25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 x14ac:dyDescent="0.25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 x14ac:dyDescent="0.25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 x14ac:dyDescent="0.25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 x14ac:dyDescent="0.25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 x14ac:dyDescent="0.25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 x14ac:dyDescent="0.25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 x14ac:dyDescent="0.25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 x14ac:dyDescent="0.25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 x14ac:dyDescent="0.25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 x14ac:dyDescent="0.25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 x14ac:dyDescent="0.25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 x14ac:dyDescent="0.25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 x14ac:dyDescent="0.25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 x14ac:dyDescent="0.25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 x14ac:dyDescent="0.25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 x14ac:dyDescent="0.25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 x14ac:dyDescent="0.25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 x14ac:dyDescent="0.25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 x14ac:dyDescent="0.25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 x14ac:dyDescent="0.25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 x14ac:dyDescent="0.25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 x14ac:dyDescent="0.25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 x14ac:dyDescent="0.25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 x14ac:dyDescent="0.25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 x14ac:dyDescent="0.25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 x14ac:dyDescent="0.25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 x14ac:dyDescent="0.25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 x14ac:dyDescent="0.25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 x14ac:dyDescent="0.25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 x14ac:dyDescent="0.25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 x14ac:dyDescent="0.25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 x14ac:dyDescent="0.25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 x14ac:dyDescent="0.25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 x14ac:dyDescent="0.25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 x14ac:dyDescent="0.25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 x14ac:dyDescent="0.25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 x14ac:dyDescent="0.25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 x14ac:dyDescent="0.25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 x14ac:dyDescent="0.25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 x14ac:dyDescent="0.25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 x14ac:dyDescent="0.25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 x14ac:dyDescent="0.25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 x14ac:dyDescent="0.25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 x14ac:dyDescent="0.25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 x14ac:dyDescent="0.25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 x14ac:dyDescent="0.25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 x14ac:dyDescent="0.25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 x14ac:dyDescent="0.25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 x14ac:dyDescent="0.25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 x14ac:dyDescent="0.25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 x14ac:dyDescent="0.25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 x14ac:dyDescent="0.25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 x14ac:dyDescent="0.25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 x14ac:dyDescent="0.25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 x14ac:dyDescent="0.25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 x14ac:dyDescent="0.25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 x14ac:dyDescent="0.25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 x14ac:dyDescent="0.25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 x14ac:dyDescent="0.25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 x14ac:dyDescent="0.25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 x14ac:dyDescent="0.25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 x14ac:dyDescent="0.25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 x14ac:dyDescent="0.25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 x14ac:dyDescent="0.25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 x14ac:dyDescent="0.25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 x14ac:dyDescent="0.25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 x14ac:dyDescent="0.25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 x14ac:dyDescent="0.25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 x14ac:dyDescent="0.25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 x14ac:dyDescent="0.25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 x14ac:dyDescent="0.25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 x14ac:dyDescent="0.25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 x14ac:dyDescent="0.25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 x14ac:dyDescent="0.25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 x14ac:dyDescent="0.25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 x14ac:dyDescent="0.25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 x14ac:dyDescent="0.25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 x14ac:dyDescent="0.25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 x14ac:dyDescent="0.25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 x14ac:dyDescent="0.25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 x14ac:dyDescent="0.25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 x14ac:dyDescent="0.25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 x14ac:dyDescent="0.25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 x14ac:dyDescent="0.25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 x14ac:dyDescent="0.25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 x14ac:dyDescent="0.25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 x14ac:dyDescent="0.25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 x14ac:dyDescent="0.25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 x14ac:dyDescent="0.25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 x14ac:dyDescent="0.25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 x14ac:dyDescent="0.25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 x14ac:dyDescent="0.25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 x14ac:dyDescent="0.25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 x14ac:dyDescent="0.25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 x14ac:dyDescent="0.25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 x14ac:dyDescent="0.25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 x14ac:dyDescent="0.25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 x14ac:dyDescent="0.25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 x14ac:dyDescent="0.25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 x14ac:dyDescent="0.25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 x14ac:dyDescent="0.25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 x14ac:dyDescent="0.25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 x14ac:dyDescent="0.25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 x14ac:dyDescent="0.25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 x14ac:dyDescent="0.25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 x14ac:dyDescent="0.25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 x14ac:dyDescent="0.25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 x14ac:dyDescent="0.25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 x14ac:dyDescent="0.25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 x14ac:dyDescent="0.25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 x14ac:dyDescent="0.25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 x14ac:dyDescent="0.25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 x14ac:dyDescent="0.25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 x14ac:dyDescent="0.25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 x14ac:dyDescent="0.25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 x14ac:dyDescent="0.25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 x14ac:dyDescent="0.25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 x14ac:dyDescent="0.25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 x14ac:dyDescent="0.25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 x14ac:dyDescent="0.25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 x14ac:dyDescent="0.25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 x14ac:dyDescent="0.25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 x14ac:dyDescent="0.25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 x14ac:dyDescent="0.25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 x14ac:dyDescent="0.25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 x14ac:dyDescent="0.25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 x14ac:dyDescent="0.25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 x14ac:dyDescent="0.25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 x14ac:dyDescent="0.25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 x14ac:dyDescent="0.25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 x14ac:dyDescent="0.25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 x14ac:dyDescent="0.25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 x14ac:dyDescent="0.25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 x14ac:dyDescent="0.25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 x14ac:dyDescent="0.25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 x14ac:dyDescent="0.25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 x14ac:dyDescent="0.25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 x14ac:dyDescent="0.25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 x14ac:dyDescent="0.25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 x14ac:dyDescent="0.25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 x14ac:dyDescent="0.25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 x14ac:dyDescent="0.25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 x14ac:dyDescent="0.25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 x14ac:dyDescent="0.25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 x14ac:dyDescent="0.25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 x14ac:dyDescent="0.25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 x14ac:dyDescent="0.25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 x14ac:dyDescent="0.25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 x14ac:dyDescent="0.25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 x14ac:dyDescent="0.25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 x14ac:dyDescent="0.25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 x14ac:dyDescent="0.25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 x14ac:dyDescent="0.25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 x14ac:dyDescent="0.25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 x14ac:dyDescent="0.25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 x14ac:dyDescent="0.25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 x14ac:dyDescent="0.25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 x14ac:dyDescent="0.25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 x14ac:dyDescent="0.25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 x14ac:dyDescent="0.25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 x14ac:dyDescent="0.25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 x14ac:dyDescent="0.25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 x14ac:dyDescent="0.25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 x14ac:dyDescent="0.25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 x14ac:dyDescent="0.25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 x14ac:dyDescent="0.25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 x14ac:dyDescent="0.25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 x14ac:dyDescent="0.25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 x14ac:dyDescent="0.25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 x14ac:dyDescent="0.25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 x14ac:dyDescent="0.25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 x14ac:dyDescent="0.25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 x14ac:dyDescent="0.25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 x14ac:dyDescent="0.25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 x14ac:dyDescent="0.25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 x14ac:dyDescent="0.25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 x14ac:dyDescent="0.25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 x14ac:dyDescent="0.25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 x14ac:dyDescent="0.25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 x14ac:dyDescent="0.25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 x14ac:dyDescent="0.25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 x14ac:dyDescent="0.25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 x14ac:dyDescent="0.25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 x14ac:dyDescent="0.25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 x14ac:dyDescent="0.25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 x14ac:dyDescent="0.25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 x14ac:dyDescent="0.25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 x14ac:dyDescent="0.25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 x14ac:dyDescent="0.25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 x14ac:dyDescent="0.25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 x14ac:dyDescent="0.25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 x14ac:dyDescent="0.25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 x14ac:dyDescent="0.25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 x14ac:dyDescent="0.25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 x14ac:dyDescent="0.25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 x14ac:dyDescent="0.25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 x14ac:dyDescent="0.25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 x14ac:dyDescent="0.25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 x14ac:dyDescent="0.25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 x14ac:dyDescent="0.25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 x14ac:dyDescent="0.25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 x14ac:dyDescent="0.25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 x14ac:dyDescent="0.25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 x14ac:dyDescent="0.25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 x14ac:dyDescent="0.25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 x14ac:dyDescent="0.25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 x14ac:dyDescent="0.25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 x14ac:dyDescent="0.25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 x14ac:dyDescent="0.25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 x14ac:dyDescent="0.25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 x14ac:dyDescent="0.25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 x14ac:dyDescent="0.25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 x14ac:dyDescent="0.25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 x14ac:dyDescent="0.25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 x14ac:dyDescent="0.25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 x14ac:dyDescent="0.25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 x14ac:dyDescent="0.25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 x14ac:dyDescent="0.25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 x14ac:dyDescent="0.25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 x14ac:dyDescent="0.25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 x14ac:dyDescent="0.25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 x14ac:dyDescent="0.25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 x14ac:dyDescent="0.25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 x14ac:dyDescent="0.25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 x14ac:dyDescent="0.25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 x14ac:dyDescent="0.25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 x14ac:dyDescent="0.25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 x14ac:dyDescent="0.25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 x14ac:dyDescent="0.25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 x14ac:dyDescent="0.25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 x14ac:dyDescent="0.25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 x14ac:dyDescent="0.25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 x14ac:dyDescent="0.25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 x14ac:dyDescent="0.25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 x14ac:dyDescent="0.25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 x14ac:dyDescent="0.25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 x14ac:dyDescent="0.25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 x14ac:dyDescent="0.25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 x14ac:dyDescent="0.25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 x14ac:dyDescent="0.25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 x14ac:dyDescent="0.25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 x14ac:dyDescent="0.25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 x14ac:dyDescent="0.25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 x14ac:dyDescent="0.25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 x14ac:dyDescent="0.25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 x14ac:dyDescent="0.25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 x14ac:dyDescent="0.25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 x14ac:dyDescent="0.25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 x14ac:dyDescent="0.25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 x14ac:dyDescent="0.25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 x14ac:dyDescent="0.25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 x14ac:dyDescent="0.25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 x14ac:dyDescent="0.25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 x14ac:dyDescent="0.25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 x14ac:dyDescent="0.25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 x14ac:dyDescent="0.25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 x14ac:dyDescent="0.25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 x14ac:dyDescent="0.25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 x14ac:dyDescent="0.25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 x14ac:dyDescent="0.25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 x14ac:dyDescent="0.25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 x14ac:dyDescent="0.25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 x14ac:dyDescent="0.25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 x14ac:dyDescent="0.25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 x14ac:dyDescent="0.25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 x14ac:dyDescent="0.25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 x14ac:dyDescent="0.25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 x14ac:dyDescent="0.25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 x14ac:dyDescent="0.25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 x14ac:dyDescent="0.25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 x14ac:dyDescent="0.25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 x14ac:dyDescent="0.25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 x14ac:dyDescent="0.25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 x14ac:dyDescent="0.25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 x14ac:dyDescent="0.25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 x14ac:dyDescent="0.25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 x14ac:dyDescent="0.25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 x14ac:dyDescent="0.25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 x14ac:dyDescent="0.25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 x14ac:dyDescent="0.25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 x14ac:dyDescent="0.25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 x14ac:dyDescent="0.25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 x14ac:dyDescent="0.25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 x14ac:dyDescent="0.25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 x14ac:dyDescent="0.25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 x14ac:dyDescent="0.25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 x14ac:dyDescent="0.25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 x14ac:dyDescent="0.25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 x14ac:dyDescent="0.25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 x14ac:dyDescent="0.25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 x14ac:dyDescent="0.25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 x14ac:dyDescent="0.25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 x14ac:dyDescent="0.25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 x14ac:dyDescent="0.25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 x14ac:dyDescent="0.25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 x14ac:dyDescent="0.25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 x14ac:dyDescent="0.25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 x14ac:dyDescent="0.25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 x14ac:dyDescent="0.25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 x14ac:dyDescent="0.25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 x14ac:dyDescent="0.25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 x14ac:dyDescent="0.25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 x14ac:dyDescent="0.25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 x14ac:dyDescent="0.25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 x14ac:dyDescent="0.25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 x14ac:dyDescent="0.25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 x14ac:dyDescent="0.25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 x14ac:dyDescent="0.25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 x14ac:dyDescent="0.25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 x14ac:dyDescent="0.25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 x14ac:dyDescent="0.25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 x14ac:dyDescent="0.25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 x14ac:dyDescent="0.25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 x14ac:dyDescent="0.25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 x14ac:dyDescent="0.25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 x14ac:dyDescent="0.25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 x14ac:dyDescent="0.25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 x14ac:dyDescent="0.25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 x14ac:dyDescent="0.25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 x14ac:dyDescent="0.25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 x14ac:dyDescent="0.25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 x14ac:dyDescent="0.25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 x14ac:dyDescent="0.25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 x14ac:dyDescent="0.25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 x14ac:dyDescent="0.25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 x14ac:dyDescent="0.25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 x14ac:dyDescent="0.25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 x14ac:dyDescent="0.25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 x14ac:dyDescent="0.25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 x14ac:dyDescent="0.25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 x14ac:dyDescent="0.25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 x14ac:dyDescent="0.25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 x14ac:dyDescent="0.25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 x14ac:dyDescent="0.25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 x14ac:dyDescent="0.25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 x14ac:dyDescent="0.25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 x14ac:dyDescent="0.25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 x14ac:dyDescent="0.25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 x14ac:dyDescent="0.25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 x14ac:dyDescent="0.25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 x14ac:dyDescent="0.25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 x14ac:dyDescent="0.25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 x14ac:dyDescent="0.25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 x14ac:dyDescent="0.25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 x14ac:dyDescent="0.25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 x14ac:dyDescent="0.25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 x14ac:dyDescent="0.25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 x14ac:dyDescent="0.25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 x14ac:dyDescent="0.25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 x14ac:dyDescent="0.25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 x14ac:dyDescent="0.25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 x14ac:dyDescent="0.25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 x14ac:dyDescent="0.25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 x14ac:dyDescent="0.25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 x14ac:dyDescent="0.25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 x14ac:dyDescent="0.25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 x14ac:dyDescent="0.25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 x14ac:dyDescent="0.25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 x14ac:dyDescent="0.25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 x14ac:dyDescent="0.25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 x14ac:dyDescent="0.25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 x14ac:dyDescent="0.25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 x14ac:dyDescent="0.25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 x14ac:dyDescent="0.25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 x14ac:dyDescent="0.25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 x14ac:dyDescent="0.25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 x14ac:dyDescent="0.25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 x14ac:dyDescent="0.25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 x14ac:dyDescent="0.25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 x14ac:dyDescent="0.25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 x14ac:dyDescent="0.25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 x14ac:dyDescent="0.25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 x14ac:dyDescent="0.25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 x14ac:dyDescent="0.25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 x14ac:dyDescent="0.25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 x14ac:dyDescent="0.25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 x14ac:dyDescent="0.25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 x14ac:dyDescent="0.25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 x14ac:dyDescent="0.25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 x14ac:dyDescent="0.25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 x14ac:dyDescent="0.25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 x14ac:dyDescent="0.25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 x14ac:dyDescent="0.25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 x14ac:dyDescent="0.25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 x14ac:dyDescent="0.25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 x14ac:dyDescent="0.25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 x14ac:dyDescent="0.25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 x14ac:dyDescent="0.25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 x14ac:dyDescent="0.25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 x14ac:dyDescent="0.25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 x14ac:dyDescent="0.25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 x14ac:dyDescent="0.25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 x14ac:dyDescent="0.25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 x14ac:dyDescent="0.25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 x14ac:dyDescent="0.25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 x14ac:dyDescent="0.25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 x14ac:dyDescent="0.25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 x14ac:dyDescent="0.25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 x14ac:dyDescent="0.25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 x14ac:dyDescent="0.25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 x14ac:dyDescent="0.25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 x14ac:dyDescent="0.25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 x14ac:dyDescent="0.25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 x14ac:dyDescent="0.25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 x14ac:dyDescent="0.25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 x14ac:dyDescent="0.25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 x14ac:dyDescent="0.25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 x14ac:dyDescent="0.25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 x14ac:dyDescent="0.25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 x14ac:dyDescent="0.25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 x14ac:dyDescent="0.25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 x14ac:dyDescent="0.25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 x14ac:dyDescent="0.25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 x14ac:dyDescent="0.25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 x14ac:dyDescent="0.25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 x14ac:dyDescent="0.25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 x14ac:dyDescent="0.25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 x14ac:dyDescent="0.25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 x14ac:dyDescent="0.25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 x14ac:dyDescent="0.25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 x14ac:dyDescent="0.25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 x14ac:dyDescent="0.25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 x14ac:dyDescent="0.25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 x14ac:dyDescent="0.25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 x14ac:dyDescent="0.25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 x14ac:dyDescent="0.25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 x14ac:dyDescent="0.25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 x14ac:dyDescent="0.25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 x14ac:dyDescent="0.25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 x14ac:dyDescent="0.25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 x14ac:dyDescent="0.25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 x14ac:dyDescent="0.25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 x14ac:dyDescent="0.25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 x14ac:dyDescent="0.25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 x14ac:dyDescent="0.25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 x14ac:dyDescent="0.25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 x14ac:dyDescent="0.25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 x14ac:dyDescent="0.25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 x14ac:dyDescent="0.25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 x14ac:dyDescent="0.25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 x14ac:dyDescent="0.25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 x14ac:dyDescent="0.25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 x14ac:dyDescent="0.25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 x14ac:dyDescent="0.25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 x14ac:dyDescent="0.25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 x14ac:dyDescent="0.25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 x14ac:dyDescent="0.25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 x14ac:dyDescent="0.25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 x14ac:dyDescent="0.25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 x14ac:dyDescent="0.25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 x14ac:dyDescent="0.25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 x14ac:dyDescent="0.25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 x14ac:dyDescent="0.25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 x14ac:dyDescent="0.25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 x14ac:dyDescent="0.25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 x14ac:dyDescent="0.25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 x14ac:dyDescent="0.25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 x14ac:dyDescent="0.25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 x14ac:dyDescent="0.25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 x14ac:dyDescent="0.25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 x14ac:dyDescent="0.25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 x14ac:dyDescent="0.25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 x14ac:dyDescent="0.25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 x14ac:dyDescent="0.25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 x14ac:dyDescent="0.25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 x14ac:dyDescent="0.25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 x14ac:dyDescent="0.25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 x14ac:dyDescent="0.25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 x14ac:dyDescent="0.25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 x14ac:dyDescent="0.25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 x14ac:dyDescent="0.25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 x14ac:dyDescent="0.25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 x14ac:dyDescent="0.25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 x14ac:dyDescent="0.25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 x14ac:dyDescent="0.25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 x14ac:dyDescent="0.25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 x14ac:dyDescent="0.25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 x14ac:dyDescent="0.25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 x14ac:dyDescent="0.25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 x14ac:dyDescent="0.25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 x14ac:dyDescent="0.25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 x14ac:dyDescent="0.25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 x14ac:dyDescent="0.25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 x14ac:dyDescent="0.25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 x14ac:dyDescent="0.25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 x14ac:dyDescent="0.25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 x14ac:dyDescent="0.25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 x14ac:dyDescent="0.25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 x14ac:dyDescent="0.25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 x14ac:dyDescent="0.25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 x14ac:dyDescent="0.25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 x14ac:dyDescent="0.25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 x14ac:dyDescent="0.25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 x14ac:dyDescent="0.25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 x14ac:dyDescent="0.25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 x14ac:dyDescent="0.25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 x14ac:dyDescent="0.25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 x14ac:dyDescent="0.25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 x14ac:dyDescent="0.25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 x14ac:dyDescent="0.25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 x14ac:dyDescent="0.25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 x14ac:dyDescent="0.25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 x14ac:dyDescent="0.25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 x14ac:dyDescent="0.25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 x14ac:dyDescent="0.25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 x14ac:dyDescent="0.25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 x14ac:dyDescent="0.25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 x14ac:dyDescent="0.25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 x14ac:dyDescent="0.25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 x14ac:dyDescent="0.25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 x14ac:dyDescent="0.25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 x14ac:dyDescent="0.25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 x14ac:dyDescent="0.25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 x14ac:dyDescent="0.25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 x14ac:dyDescent="0.25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 x14ac:dyDescent="0.25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 x14ac:dyDescent="0.25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 x14ac:dyDescent="0.25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 x14ac:dyDescent="0.25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 x14ac:dyDescent="0.25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 x14ac:dyDescent="0.25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 x14ac:dyDescent="0.25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 x14ac:dyDescent="0.25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 x14ac:dyDescent="0.25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 x14ac:dyDescent="0.25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 x14ac:dyDescent="0.25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 x14ac:dyDescent="0.25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 x14ac:dyDescent="0.25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 x14ac:dyDescent="0.25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 x14ac:dyDescent="0.25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 x14ac:dyDescent="0.25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 x14ac:dyDescent="0.25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 x14ac:dyDescent="0.25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 x14ac:dyDescent="0.25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 x14ac:dyDescent="0.25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 x14ac:dyDescent="0.25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 x14ac:dyDescent="0.25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 x14ac:dyDescent="0.25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 x14ac:dyDescent="0.25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 x14ac:dyDescent="0.25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 x14ac:dyDescent="0.25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 x14ac:dyDescent="0.25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 x14ac:dyDescent="0.25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 x14ac:dyDescent="0.25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 x14ac:dyDescent="0.25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 x14ac:dyDescent="0.25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 x14ac:dyDescent="0.25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 x14ac:dyDescent="0.25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 x14ac:dyDescent="0.25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 x14ac:dyDescent="0.25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 x14ac:dyDescent="0.25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 x14ac:dyDescent="0.25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 x14ac:dyDescent="0.25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 x14ac:dyDescent="0.25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 x14ac:dyDescent="0.25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 x14ac:dyDescent="0.25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 x14ac:dyDescent="0.25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 x14ac:dyDescent="0.25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 x14ac:dyDescent="0.25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 x14ac:dyDescent="0.25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 x14ac:dyDescent="0.25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 x14ac:dyDescent="0.25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 x14ac:dyDescent="0.25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 x14ac:dyDescent="0.25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 x14ac:dyDescent="0.25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 x14ac:dyDescent="0.25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 x14ac:dyDescent="0.25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 x14ac:dyDescent="0.25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 x14ac:dyDescent="0.25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 x14ac:dyDescent="0.25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 x14ac:dyDescent="0.25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 x14ac:dyDescent="0.25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 x14ac:dyDescent="0.25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 x14ac:dyDescent="0.25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 x14ac:dyDescent="0.25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 x14ac:dyDescent="0.25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 x14ac:dyDescent="0.25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 x14ac:dyDescent="0.25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 x14ac:dyDescent="0.25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 x14ac:dyDescent="0.25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 x14ac:dyDescent="0.25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 x14ac:dyDescent="0.25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 x14ac:dyDescent="0.25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 x14ac:dyDescent="0.25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 x14ac:dyDescent="0.25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 x14ac:dyDescent="0.25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 x14ac:dyDescent="0.25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 x14ac:dyDescent="0.25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 x14ac:dyDescent="0.25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 x14ac:dyDescent="0.25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 x14ac:dyDescent="0.25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 x14ac:dyDescent="0.25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 x14ac:dyDescent="0.25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 x14ac:dyDescent="0.25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 x14ac:dyDescent="0.25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 x14ac:dyDescent="0.25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 x14ac:dyDescent="0.25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 x14ac:dyDescent="0.25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 x14ac:dyDescent="0.25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 x14ac:dyDescent="0.25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 x14ac:dyDescent="0.25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 x14ac:dyDescent="0.25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 x14ac:dyDescent="0.25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 x14ac:dyDescent="0.25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 x14ac:dyDescent="0.25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 x14ac:dyDescent="0.25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 x14ac:dyDescent="0.25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 x14ac:dyDescent="0.25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 x14ac:dyDescent="0.25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 x14ac:dyDescent="0.25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 x14ac:dyDescent="0.25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 x14ac:dyDescent="0.25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 x14ac:dyDescent="0.25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 x14ac:dyDescent="0.25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 x14ac:dyDescent="0.25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 x14ac:dyDescent="0.25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 x14ac:dyDescent="0.25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 x14ac:dyDescent="0.25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 x14ac:dyDescent="0.25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 x14ac:dyDescent="0.25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 x14ac:dyDescent="0.25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 x14ac:dyDescent="0.25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 x14ac:dyDescent="0.25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 x14ac:dyDescent="0.25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 x14ac:dyDescent="0.25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 x14ac:dyDescent="0.25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 x14ac:dyDescent="0.25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 x14ac:dyDescent="0.25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 x14ac:dyDescent="0.25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 x14ac:dyDescent="0.25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 x14ac:dyDescent="0.25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 x14ac:dyDescent="0.25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 x14ac:dyDescent="0.25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 x14ac:dyDescent="0.25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 x14ac:dyDescent="0.25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 x14ac:dyDescent="0.25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 x14ac:dyDescent="0.25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 x14ac:dyDescent="0.25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 x14ac:dyDescent="0.25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 x14ac:dyDescent="0.25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 x14ac:dyDescent="0.25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 x14ac:dyDescent="0.25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 x14ac:dyDescent="0.25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 x14ac:dyDescent="0.25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 x14ac:dyDescent="0.25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 x14ac:dyDescent="0.25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 x14ac:dyDescent="0.25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 x14ac:dyDescent="0.25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 x14ac:dyDescent="0.25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 x14ac:dyDescent="0.25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 x14ac:dyDescent="0.25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 x14ac:dyDescent="0.25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 x14ac:dyDescent="0.25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 x14ac:dyDescent="0.25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 x14ac:dyDescent="0.25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 x14ac:dyDescent="0.25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 x14ac:dyDescent="0.25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 x14ac:dyDescent="0.25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 x14ac:dyDescent="0.25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 x14ac:dyDescent="0.25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 x14ac:dyDescent="0.25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 x14ac:dyDescent="0.25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 x14ac:dyDescent="0.25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 x14ac:dyDescent="0.25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 x14ac:dyDescent="0.25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 x14ac:dyDescent="0.25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 x14ac:dyDescent="0.25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 x14ac:dyDescent="0.25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 x14ac:dyDescent="0.25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 x14ac:dyDescent="0.25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 x14ac:dyDescent="0.25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 x14ac:dyDescent="0.25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 x14ac:dyDescent="0.25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 x14ac:dyDescent="0.25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 x14ac:dyDescent="0.25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 x14ac:dyDescent="0.25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 x14ac:dyDescent="0.25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 x14ac:dyDescent="0.25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 x14ac:dyDescent="0.25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 x14ac:dyDescent="0.25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 x14ac:dyDescent="0.25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 x14ac:dyDescent="0.25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 x14ac:dyDescent="0.25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 x14ac:dyDescent="0.25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 x14ac:dyDescent="0.25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 x14ac:dyDescent="0.25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 x14ac:dyDescent="0.25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 x14ac:dyDescent="0.25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 x14ac:dyDescent="0.25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 x14ac:dyDescent="0.25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 x14ac:dyDescent="0.25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 x14ac:dyDescent="0.25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 x14ac:dyDescent="0.25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 x14ac:dyDescent="0.25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 x14ac:dyDescent="0.25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 x14ac:dyDescent="0.25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 x14ac:dyDescent="0.25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 x14ac:dyDescent="0.25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 x14ac:dyDescent="0.25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 x14ac:dyDescent="0.25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 x14ac:dyDescent="0.25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 x14ac:dyDescent="0.25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 x14ac:dyDescent="0.25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 x14ac:dyDescent="0.25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 x14ac:dyDescent="0.25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 x14ac:dyDescent="0.25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 x14ac:dyDescent="0.25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 x14ac:dyDescent="0.25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 x14ac:dyDescent="0.25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 x14ac:dyDescent="0.25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 x14ac:dyDescent="0.25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 x14ac:dyDescent="0.25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 x14ac:dyDescent="0.25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 x14ac:dyDescent="0.25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 x14ac:dyDescent="0.25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 x14ac:dyDescent="0.25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 x14ac:dyDescent="0.25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 x14ac:dyDescent="0.25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 x14ac:dyDescent="0.25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 x14ac:dyDescent="0.25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 x14ac:dyDescent="0.25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 x14ac:dyDescent="0.25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 x14ac:dyDescent="0.25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 x14ac:dyDescent="0.25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 x14ac:dyDescent="0.25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 x14ac:dyDescent="0.25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 x14ac:dyDescent="0.25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 x14ac:dyDescent="0.25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 x14ac:dyDescent="0.25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 x14ac:dyDescent="0.25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 x14ac:dyDescent="0.25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 x14ac:dyDescent="0.25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 x14ac:dyDescent="0.25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 x14ac:dyDescent="0.25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 x14ac:dyDescent="0.25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 x14ac:dyDescent="0.25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 x14ac:dyDescent="0.25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 x14ac:dyDescent="0.25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 x14ac:dyDescent="0.25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 x14ac:dyDescent="0.25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 x14ac:dyDescent="0.25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 x14ac:dyDescent="0.25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 x14ac:dyDescent="0.25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 x14ac:dyDescent="0.25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 x14ac:dyDescent="0.25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 x14ac:dyDescent="0.25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 x14ac:dyDescent="0.25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 x14ac:dyDescent="0.25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 x14ac:dyDescent="0.25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 x14ac:dyDescent="0.25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 x14ac:dyDescent="0.25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 x14ac:dyDescent="0.25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 x14ac:dyDescent="0.25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 x14ac:dyDescent="0.25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 x14ac:dyDescent="0.25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 x14ac:dyDescent="0.25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 x14ac:dyDescent="0.25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 x14ac:dyDescent="0.25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 x14ac:dyDescent="0.25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 x14ac:dyDescent="0.25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 x14ac:dyDescent="0.25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 x14ac:dyDescent="0.25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 x14ac:dyDescent="0.25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 x14ac:dyDescent="0.25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 x14ac:dyDescent="0.25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 x14ac:dyDescent="0.25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 x14ac:dyDescent="0.25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 x14ac:dyDescent="0.25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 x14ac:dyDescent="0.25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 x14ac:dyDescent="0.25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 x14ac:dyDescent="0.25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 x14ac:dyDescent="0.25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 x14ac:dyDescent="0.25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 x14ac:dyDescent="0.25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 x14ac:dyDescent="0.25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 x14ac:dyDescent="0.25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 x14ac:dyDescent="0.25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 x14ac:dyDescent="0.25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 x14ac:dyDescent="0.25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 x14ac:dyDescent="0.25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 x14ac:dyDescent="0.25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 x14ac:dyDescent="0.25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 x14ac:dyDescent="0.25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 x14ac:dyDescent="0.25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 x14ac:dyDescent="0.25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 x14ac:dyDescent="0.25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 x14ac:dyDescent="0.25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 x14ac:dyDescent="0.25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 x14ac:dyDescent="0.25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 x14ac:dyDescent="0.25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 x14ac:dyDescent="0.25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 x14ac:dyDescent="0.25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 x14ac:dyDescent="0.25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 x14ac:dyDescent="0.25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 x14ac:dyDescent="0.25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 x14ac:dyDescent="0.25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 x14ac:dyDescent="0.25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 x14ac:dyDescent="0.25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 x14ac:dyDescent="0.25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 x14ac:dyDescent="0.25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 x14ac:dyDescent="0.25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 x14ac:dyDescent="0.25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 x14ac:dyDescent="0.25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 x14ac:dyDescent="0.25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 x14ac:dyDescent="0.25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 x14ac:dyDescent="0.25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 x14ac:dyDescent="0.25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 x14ac:dyDescent="0.25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 x14ac:dyDescent="0.25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 x14ac:dyDescent="0.25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 x14ac:dyDescent="0.25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 x14ac:dyDescent="0.25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 x14ac:dyDescent="0.25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 x14ac:dyDescent="0.25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 x14ac:dyDescent="0.25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 x14ac:dyDescent="0.25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 x14ac:dyDescent="0.25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 x14ac:dyDescent="0.25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 x14ac:dyDescent="0.25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 x14ac:dyDescent="0.25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 x14ac:dyDescent="0.25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 x14ac:dyDescent="0.25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 x14ac:dyDescent="0.25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 x14ac:dyDescent="0.25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 x14ac:dyDescent="0.25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 x14ac:dyDescent="0.25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 x14ac:dyDescent="0.25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 x14ac:dyDescent="0.25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 x14ac:dyDescent="0.25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 x14ac:dyDescent="0.25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 x14ac:dyDescent="0.25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 x14ac:dyDescent="0.25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 x14ac:dyDescent="0.25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 x14ac:dyDescent="0.25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 x14ac:dyDescent="0.25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 x14ac:dyDescent="0.25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 x14ac:dyDescent="0.25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 x14ac:dyDescent="0.25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 x14ac:dyDescent="0.25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 x14ac:dyDescent="0.25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 x14ac:dyDescent="0.25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 x14ac:dyDescent="0.25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 x14ac:dyDescent="0.25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 x14ac:dyDescent="0.25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 x14ac:dyDescent="0.25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 x14ac:dyDescent="0.25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 x14ac:dyDescent="0.25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 x14ac:dyDescent="0.25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 x14ac:dyDescent="0.25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 x14ac:dyDescent="0.25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 x14ac:dyDescent="0.25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 x14ac:dyDescent="0.25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 x14ac:dyDescent="0.25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 x14ac:dyDescent="0.25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 x14ac:dyDescent="0.25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 x14ac:dyDescent="0.25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 x14ac:dyDescent="0.25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 x14ac:dyDescent="0.25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 x14ac:dyDescent="0.25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 x14ac:dyDescent="0.25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 x14ac:dyDescent="0.25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 x14ac:dyDescent="0.25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 x14ac:dyDescent="0.25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 x14ac:dyDescent="0.25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 x14ac:dyDescent="0.25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 x14ac:dyDescent="0.25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 x14ac:dyDescent="0.25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 x14ac:dyDescent="0.25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 x14ac:dyDescent="0.25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 x14ac:dyDescent="0.25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 x14ac:dyDescent="0.25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 x14ac:dyDescent="0.25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 x14ac:dyDescent="0.25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 x14ac:dyDescent="0.25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 x14ac:dyDescent="0.25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 x14ac:dyDescent="0.25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 x14ac:dyDescent="0.25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 x14ac:dyDescent="0.25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 x14ac:dyDescent="0.25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 x14ac:dyDescent="0.25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 x14ac:dyDescent="0.25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 x14ac:dyDescent="0.25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 x14ac:dyDescent="0.25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 x14ac:dyDescent="0.25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 x14ac:dyDescent="0.25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 x14ac:dyDescent="0.25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 x14ac:dyDescent="0.25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 x14ac:dyDescent="0.25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 x14ac:dyDescent="0.25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 x14ac:dyDescent="0.25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 x14ac:dyDescent="0.25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 x14ac:dyDescent="0.25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 x14ac:dyDescent="0.25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 x14ac:dyDescent="0.25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 x14ac:dyDescent="0.25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 x14ac:dyDescent="0.25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 x14ac:dyDescent="0.25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 x14ac:dyDescent="0.25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 x14ac:dyDescent="0.25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 x14ac:dyDescent="0.25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 x14ac:dyDescent="0.25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 x14ac:dyDescent="0.25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 x14ac:dyDescent="0.25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 x14ac:dyDescent="0.25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 x14ac:dyDescent="0.25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 x14ac:dyDescent="0.25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 x14ac:dyDescent="0.25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 x14ac:dyDescent="0.25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 x14ac:dyDescent="0.25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 x14ac:dyDescent="0.25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 x14ac:dyDescent="0.25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 x14ac:dyDescent="0.25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 x14ac:dyDescent="0.25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 x14ac:dyDescent="0.25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 x14ac:dyDescent="0.25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 x14ac:dyDescent="0.25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 x14ac:dyDescent="0.25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 x14ac:dyDescent="0.25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 x14ac:dyDescent="0.25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 x14ac:dyDescent="0.25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 x14ac:dyDescent="0.25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 x14ac:dyDescent="0.25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 x14ac:dyDescent="0.25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 x14ac:dyDescent="0.25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 x14ac:dyDescent="0.25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 x14ac:dyDescent="0.25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 x14ac:dyDescent="0.25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 x14ac:dyDescent="0.25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 x14ac:dyDescent="0.25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 x14ac:dyDescent="0.25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 x14ac:dyDescent="0.25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 x14ac:dyDescent="0.25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 x14ac:dyDescent="0.25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 x14ac:dyDescent="0.25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 x14ac:dyDescent="0.25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 x14ac:dyDescent="0.25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 x14ac:dyDescent="0.25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 x14ac:dyDescent="0.25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 x14ac:dyDescent="0.25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 x14ac:dyDescent="0.25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 x14ac:dyDescent="0.25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 x14ac:dyDescent="0.25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 x14ac:dyDescent="0.25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 x14ac:dyDescent="0.25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 x14ac:dyDescent="0.25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 x14ac:dyDescent="0.25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 x14ac:dyDescent="0.25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 x14ac:dyDescent="0.25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 x14ac:dyDescent="0.25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 x14ac:dyDescent="0.25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 x14ac:dyDescent="0.25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 x14ac:dyDescent="0.25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 x14ac:dyDescent="0.25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 x14ac:dyDescent="0.25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 x14ac:dyDescent="0.25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 x14ac:dyDescent="0.25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 x14ac:dyDescent="0.25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 x14ac:dyDescent="0.25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 x14ac:dyDescent="0.25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 x14ac:dyDescent="0.25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 x14ac:dyDescent="0.25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 x14ac:dyDescent="0.25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 x14ac:dyDescent="0.25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 x14ac:dyDescent="0.25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 x14ac:dyDescent="0.25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 x14ac:dyDescent="0.25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 x14ac:dyDescent="0.25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 x14ac:dyDescent="0.25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 x14ac:dyDescent="0.25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 x14ac:dyDescent="0.25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 x14ac:dyDescent="0.25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 x14ac:dyDescent="0.25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 x14ac:dyDescent="0.25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 x14ac:dyDescent="0.25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 x14ac:dyDescent="0.25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 x14ac:dyDescent="0.25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 x14ac:dyDescent="0.25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 x14ac:dyDescent="0.25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 x14ac:dyDescent="0.25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 x14ac:dyDescent="0.25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 x14ac:dyDescent="0.25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 x14ac:dyDescent="0.25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 x14ac:dyDescent="0.25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 x14ac:dyDescent="0.25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 x14ac:dyDescent="0.25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 x14ac:dyDescent="0.25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 x14ac:dyDescent="0.25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 x14ac:dyDescent="0.25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 x14ac:dyDescent="0.25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 x14ac:dyDescent="0.25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 x14ac:dyDescent="0.25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 x14ac:dyDescent="0.25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 x14ac:dyDescent="0.25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 x14ac:dyDescent="0.25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 x14ac:dyDescent="0.25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 x14ac:dyDescent="0.25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 x14ac:dyDescent="0.25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 x14ac:dyDescent="0.25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 x14ac:dyDescent="0.25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 x14ac:dyDescent="0.25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 x14ac:dyDescent="0.25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 x14ac:dyDescent="0.25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 x14ac:dyDescent="0.25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 x14ac:dyDescent="0.25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 x14ac:dyDescent="0.25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 x14ac:dyDescent="0.25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 x14ac:dyDescent="0.25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 x14ac:dyDescent="0.25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 x14ac:dyDescent="0.25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 x14ac:dyDescent="0.25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 x14ac:dyDescent="0.25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 x14ac:dyDescent="0.25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 x14ac:dyDescent="0.25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 x14ac:dyDescent="0.25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 x14ac:dyDescent="0.25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 x14ac:dyDescent="0.25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 x14ac:dyDescent="0.25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 x14ac:dyDescent="0.25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 x14ac:dyDescent="0.25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 x14ac:dyDescent="0.25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 x14ac:dyDescent="0.25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 x14ac:dyDescent="0.25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 x14ac:dyDescent="0.25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 x14ac:dyDescent="0.25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 x14ac:dyDescent="0.25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 x14ac:dyDescent="0.25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 x14ac:dyDescent="0.25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 x14ac:dyDescent="0.25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 x14ac:dyDescent="0.25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 x14ac:dyDescent="0.25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 x14ac:dyDescent="0.25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 x14ac:dyDescent="0.25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 x14ac:dyDescent="0.25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 x14ac:dyDescent="0.25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 x14ac:dyDescent="0.25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 x14ac:dyDescent="0.25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 x14ac:dyDescent="0.25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 x14ac:dyDescent="0.25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 x14ac:dyDescent="0.25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 x14ac:dyDescent="0.25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 x14ac:dyDescent="0.25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 x14ac:dyDescent="0.25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 x14ac:dyDescent="0.25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 x14ac:dyDescent="0.25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 x14ac:dyDescent="0.25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 x14ac:dyDescent="0.25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 x14ac:dyDescent="0.25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 x14ac:dyDescent="0.25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 x14ac:dyDescent="0.25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 x14ac:dyDescent="0.25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 x14ac:dyDescent="0.25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 x14ac:dyDescent="0.25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 x14ac:dyDescent="0.25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 x14ac:dyDescent="0.25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 x14ac:dyDescent="0.25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 x14ac:dyDescent="0.25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 x14ac:dyDescent="0.25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 x14ac:dyDescent="0.25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 x14ac:dyDescent="0.25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 x14ac:dyDescent="0.25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 x14ac:dyDescent="0.25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 x14ac:dyDescent="0.25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 x14ac:dyDescent="0.25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 x14ac:dyDescent="0.25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 x14ac:dyDescent="0.25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 x14ac:dyDescent="0.25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 x14ac:dyDescent="0.25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 x14ac:dyDescent="0.25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 x14ac:dyDescent="0.25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 x14ac:dyDescent="0.25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 x14ac:dyDescent="0.25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 x14ac:dyDescent="0.25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 x14ac:dyDescent="0.25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 x14ac:dyDescent="0.25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 x14ac:dyDescent="0.25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 x14ac:dyDescent="0.25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 x14ac:dyDescent="0.25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 x14ac:dyDescent="0.25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 x14ac:dyDescent="0.25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 x14ac:dyDescent="0.25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 x14ac:dyDescent="0.25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 x14ac:dyDescent="0.25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 x14ac:dyDescent="0.25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 x14ac:dyDescent="0.25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 x14ac:dyDescent="0.25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 x14ac:dyDescent="0.25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 x14ac:dyDescent="0.25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 x14ac:dyDescent="0.25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 x14ac:dyDescent="0.25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 x14ac:dyDescent="0.25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 x14ac:dyDescent="0.25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 x14ac:dyDescent="0.25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 x14ac:dyDescent="0.25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 x14ac:dyDescent="0.25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 x14ac:dyDescent="0.25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 x14ac:dyDescent="0.25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 x14ac:dyDescent="0.25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 x14ac:dyDescent="0.25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 x14ac:dyDescent="0.25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 x14ac:dyDescent="0.25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 x14ac:dyDescent="0.25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 x14ac:dyDescent="0.25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 x14ac:dyDescent="0.25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 x14ac:dyDescent="0.25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 x14ac:dyDescent="0.25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 x14ac:dyDescent="0.25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 x14ac:dyDescent="0.25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 x14ac:dyDescent="0.25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 x14ac:dyDescent="0.25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 x14ac:dyDescent="0.25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 x14ac:dyDescent="0.25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 x14ac:dyDescent="0.25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 x14ac:dyDescent="0.25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 x14ac:dyDescent="0.25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 x14ac:dyDescent="0.25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 x14ac:dyDescent="0.25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 x14ac:dyDescent="0.25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 x14ac:dyDescent="0.25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 x14ac:dyDescent="0.25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 x14ac:dyDescent="0.25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 x14ac:dyDescent="0.25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 x14ac:dyDescent="0.25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 x14ac:dyDescent="0.25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 x14ac:dyDescent="0.25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 x14ac:dyDescent="0.25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 x14ac:dyDescent="0.25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 x14ac:dyDescent="0.25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 x14ac:dyDescent="0.25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 x14ac:dyDescent="0.25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 x14ac:dyDescent="0.25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 x14ac:dyDescent="0.25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 x14ac:dyDescent="0.25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 x14ac:dyDescent="0.25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 x14ac:dyDescent="0.25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 x14ac:dyDescent="0.25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 x14ac:dyDescent="0.25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 x14ac:dyDescent="0.25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 x14ac:dyDescent="0.25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 x14ac:dyDescent="0.25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 x14ac:dyDescent="0.25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 x14ac:dyDescent="0.25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 x14ac:dyDescent="0.25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 x14ac:dyDescent="0.25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 x14ac:dyDescent="0.25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 x14ac:dyDescent="0.25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 x14ac:dyDescent="0.25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 x14ac:dyDescent="0.25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 x14ac:dyDescent="0.25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 x14ac:dyDescent="0.25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 x14ac:dyDescent="0.25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 x14ac:dyDescent="0.25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 x14ac:dyDescent="0.25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 x14ac:dyDescent="0.25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 x14ac:dyDescent="0.25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 x14ac:dyDescent="0.25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 x14ac:dyDescent="0.25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 x14ac:dyDescent="0.25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 x14ac:dyDescent="0.25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 x14ac:dyDescent="0.25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 x14ac:dyDescent="0.25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 x14ac:dyDescent="0.25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 x14ac:dyDescent="0.25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 x14ac:dyDescent="0.25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 x14ac:dyDescent="0.25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 x14ac:dyDescent="0.25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 x14ac:dyDescent="0.25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 x14ac:dyDescent="0.25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 x14ac:dyDescent="0.25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 x14ac:dyDescent="0.25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 x14ac:dyDescent="0.25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 x14ac:dyDescent="0.25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 x14ac:dyDescent="0.25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 x14ac:dyDescent="0.25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 x14ac:dyDescent="0.25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 x14ac:dyDescent="0.25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 x14ac:dyDescent="0.25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 x14ac:dyDescent="0.25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 x14ac:dyDescent="0.25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 x14ac:dyDescent="0.25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 x14ac:dyDescent="0.25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 x14ac:dyDescent="0.25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 x14ac:dyDescent="0.25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 x14ac:dyDescent="0.25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 x14ac:dyDescent="0.25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 x14ac:dyDescent="0.25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 x14ac:dyDescent="0.25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 x14ac:dyDescent="0.25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 x14ac:dyDescent="0.25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 x14ac:dyDescent="0.25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 x14ac:dyDescent="0.25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 x14ac:dyDescent="0.25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 x14ac:dyDescent="0.25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 x14ac:dyDescent="0.25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 x14ac:dyDescent="0.25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 x14ac:dyDescent="0.25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 x14ac:dyDescent="0.25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 x14ac:dyDescent="0.25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 x14ac:dyDescent="0.25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 x14ac:dyDescent="0.25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 x14ac:dyDescent="0.25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 x14ac:dyDescent="0.25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 x14ac:dyDescent="0.25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 x14ac:dyDescent="0.25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 x14ac:dyDescent="0.25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 x14ac:dyDescent="0.25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 x14ac:dyDescent="0.25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 x14ac:dyDescent="0.25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 x14ac:dyDescent="0.25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 x14ac:dyDescent="0.25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 x14ac:dyDescent="0.25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 x14ac:dyDescent="0.25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 x14ac:dyDescent="0.25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 x14ac:dyDescent="0.25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 x14ac:dyDescent="0.25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 x14ac:dyDescent="0.25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 x14ac:dyDescent="0.25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 x14ac:dyDescent="0.25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 x14ac:dyDescent="0.25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 x14ac:dyDescent="0.25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 x14ac:dyDescent="0.25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 x14ac:dyDescent="0.25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 x14ac:dyDescent="0.25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 x14ac:dyDescent="0.25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 x14ac:dyDescent="0.25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 x14ac:dyDescent="0.25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 x14ac:dyDescent="0.25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 x14ac:dyDescent="0.25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 x14ac:dyDescent="0.25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 x14ac:dyDescent="0.25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 x14ac:dyDescent="0.25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 x14ac:dyDescent="0.25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 x14ac:dyDescent="0.25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 x14ac:dyDescent="0.25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 x14ac:dyDescent="0.25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 x14ac:dyDescent="0.25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 x14ac:dyDescent="0.25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 x14ac:dyDescent="0.25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 x14ac:dyDescent="0.25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 x14ac:dyDescent="0.25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 x14ac:dyDescent="0.25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 x14ac:dyDescent="0.25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 x14ac:dyDescent="0.25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 x14ac:dyDescent="0.25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 x14ac:dyDescent="0.25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 x14ac:dyDescent="0.25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 x14ac:dyDescent="0.25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 x14ac:dyDescent="0.25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 x14ac:dyDescent="0.25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 x14ac:dyDescent="0.25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 x14ac:dyDescent="0.25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 x14ac:dyDescent="0.25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 x14ac:dyDescent="0.25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 x14ac:dyDescent="0.25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 x14ac:dyDescent="0.25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 x14ac:dyDescent="0.25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 x14ac:dyDescent="0.25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 x14ac:dyDescent="0.25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 x14ac:dyDescent="0.25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 x14ac:dyDescent="0.25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 x14ac:dyDescent="0.25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 x14ac:dyDescent="0.25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 x14ac:dyDescent="0.25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 x14ac:dyDescent="0.25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 x14ac:dyDescent="0.25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 x14ac:dyDescent="0.25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 x14ac:dyDescent="0.25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 x14ac:dyDescent="0.25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 x14ac:dyDescent="0.25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 x14ac:dyDescent="0.25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 x14ac:dyDescent="0.25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 x14ac:dyDescent="0.25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 x14ac:dyDescent="0.25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 x14ac:dyDescent="0.25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 x14ac:dyDescent="0.25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 x14ac:dyDescent="0.25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 x14ac:dyDescent="0.25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 x14ac:dyDescent="0.25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 x14ac:dyDescent="0.25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 x14ac:dyDescent="0.25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 x14ac:dyDescent="0.25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 x14ac:dyDescent="0.25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 x14ac:dyDescent="0.25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 x14ac:dyDescent="0.25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 x14ac:dyDescent="0.25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 x14ac:dyDescent="0.25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 x14ac:dyDescent="0.25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 x14ac:dyDescent="0.25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 x14ac:dyDescent="0.25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 x14ac:dyDescent="0.25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 x14ac:dyDescent="0.25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 x14ac:dyDescent="0.25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 x14ac:dyDescent="0.25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 x14ac:dyDescent="0.25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 x14ac:dyDescent="0.25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 x14ac:dyDescent="0.25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 x14ac:dyDescent="0.25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 x14ac:dyDescent="0.25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 x14ac:dyDescent="0.25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 x14ac:dyDescent="0.25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 x14ac:dyDescent="0.25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 x14ac:dyDescent="0.25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 x14ac:dyDescent="0.25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 x14ac:dyDescent="0.25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 x14ac:dyDescent="0.25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 x14ac:dyDescent="0.25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 x14ac:dyDescent="0.25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 x14ac:dyDescent="0.25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 x14ac:dyDescent="0.25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 x14ac:dyDescent="0.25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 x14ac:dyDescent="0.25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 x14ac:dyDescent="0.25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 x14ac:dyDescent="0.25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 x14ac:dyDescent="0.25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 x14ac:dyDescent="0.25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 x14ac:dyDescent="0.25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 x14ac:dyDescent="0.25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 x14ac:dyDescent="0.25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 x14ac:dyDescent="0.25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 x14ac:dyDescent="0.25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 x14ac:dyDescent="0.25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 x14ac:dyDescent="0.25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 x14ac:dyDescent="0.25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 x14ac:dyDescent="0.25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 x14ac:dyDescent="0.25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 x14ac:dyDescent="0.25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 x14ac:dyDescent="0.25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 x14ac:dyDescent="0.25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 x14ac:dyDescent="0.25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 x14ac:dyDescent="0.25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 x14ac:dyDescent="0.25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 x14ac:dyDescent="0.25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 x14ac:dyDescent="0.25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 x14ac:dyDescent="0.25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 x14ac:dyDescent="0.25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 x14ac:dyDescent="0.25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 x14ac:dyDescent="0.25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 x14ac:dyDescent="0.25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 x14ac:dyDescent="0.25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 x14ac:dyDescent="0.25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 x14ac:dyDescent="0.25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 x14ac:dyDescent="0.25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 x14ac:dyDescent="0.25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 x14ac:dyDescent="0.25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 x14ac:dyDescent="0.25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 x14ac:dyDescent="0.25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 x14ac:dyDescent="0.25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 x14ac:dyDescent="0.25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 x14ac:dyDescent="0.25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 x14ac:dyDescent="0.25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 x14ac:dyDescent="0.25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 x14ac:dyDescent="0.25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 x14ac:dyDescent="0.25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 x14ac:dyDescent="0.25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 x14ac:dyDescent="0.25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 x14ac:dyDescent="0.25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 x14ac:dyDescent="0.25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 x14ac:dyDescent="0.25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 x14ac:dyDescent="0.25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 x14ac:dyDescent="0.25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 x14ac:dyDescent="0.25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 x14ac:dyDescent="0.25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 x14ac:dyDescent="0.25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 x14ac:dyDescent="0.25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 x14ac:dyDescent="0.25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 x14ac:dyDescent="0.25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 x14ac:dyDescent="0.25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 x14ac:dyDescent="0.25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 x14ac:dyDescent="0.25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 x14ac:dyDescent="0.25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 x14ac:dyDescent="0.25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 x14ac:dyDescent="0.25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 x14ac:dyDescent="0.25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 x14ac:dyDescent="0.25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 x14ac:dyDescent="0.25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 x14ac:dyDescent="0.25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 x14ac:dyDescent="0.25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 x14ac:dyDescent="0.25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 x14ac:dyDescent="0.25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 x14ac:dyDescent="0.25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 x14ac:dyDescent="0.25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 x14ac:dyDescent="0.25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 x14ac:dyDescent="0.25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 x14ac:dyDescent="0.25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 x14ac:dyDescent="0.25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 x14ac:dyDescent="0.25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 x14ac:dyDescent="0.25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 x14ac:dyDescent="0.25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 x14ac:dyDescent="0.25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 x14ac:dyDescent="0.25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 x14ac:dyDescent="0.25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 x14ac:dyDescent="0.25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 x14ac:dyDescent="0.25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 x14ac:dyDescent="0.25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 x14ac:dyDescent="0.25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 x14ac:dyDescent="0.25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 x14ac:dyDescent="0.25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 x14ac:dyDescent="0.25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 x14ac:dyDescent="0.25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 x14ac:dyDescent="0.25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 x14ac:dyDescent="0.25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 x14ac:dyDescent="0.25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 x14ac:dyDescent="0.25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 x14ac:dyDescent="0.25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 x14ac:dyDescent="0.25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 x14ac:dyDescent="0.25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 x14ac:dyDescent="0.25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 x14ac:dyDescent="0.25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 x14ac:dyDescent="0.25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 x14ac:dyDescent="0.25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 x14ac:dyDescent="0.25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 x14ac:dyDescent="0.25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 x14ac:dyDescent="0.25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 x14ac:dyDescent="0.25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 x14ac:dyDescent="0.25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 x14ac:dyDescent="0.25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 x14ac:dyDescent="0.25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 x14ac:dyDescent="0.25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 x14ac:dyDescent="0.25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 x14ac:dyDescent="0.25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 x14ac:dyDescent="0.25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 x14ac:dyDescent="0.25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 x14ac:dyDescent="0.25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 x14ac:dyDescent="0.25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 x14ac:dyDescent="0.25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 x14ac:dyDescent="0.25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 x14ac:dyDescent="0.25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 x14ac:dyDescent="0.25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 x14ac:dyDescent="0.25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 x14ac:dyDescent="0.25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 x14ac:dyDescent="0.25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 x14ac:dyDescent="0.25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 x14ac:dyDescent="0.25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 x14ac:dyDescent="0.25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 x14ac:dyDescent="0.25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 x14ac:dyDescent="0.25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 x14ac:dyDescent="0.25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 x14ac:dyDescent="0.25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 x14ac:dyDescent="0.25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 x14ac:dyDescent="0.25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 x14ac:dyDescent="0.25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 x14ac:dyDescent="0.25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 x14ac:dyDescent="0.25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 x14ac:dyDescent="0.25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 x14ac:dyDescent="0.25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 x14ac:dyDescent="0.25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 x14ac:dyDescent="0.25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 x14ac:dyDescent="0.25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 x14ac:dyDescent="0.25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 x14ac:dyDescent="0.25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 x14ac:dyDescent="0.25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 x14ac:dyDescent="0.25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 x14ac:dyDescent="0.25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 x14ac:dyDescent="0.25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 x14ac:dyDescent="0.25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 x14ac:dyDescent="0.25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 x14ac:dyDescent="0.25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 x14ac:dyDescent="0.25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 x14ac:dyDescent="0.25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 x14ac:dyDescent="0.25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 x14ac:dyDescent="0.25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 x14ac:dyDescent="0.25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 x14ac:dyDescent="0.25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 x14ac:dyDescent="0.25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 x14ac:dyDescent="0.25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 x14ac:dyDescent="0.25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 x14ac:dyDescent="0.25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 x14ac:dyDescent="0.25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 x14ac:dyDescent="0.25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 x14ac:dyDescent="0.25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 x14ac:dyDescent="0.25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 x14ac:dyDescent="0.25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 x14ac:dyDescent="0.25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 x14ac:dyDescent="0.25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 x14ac:dyDescent="0.25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 x14ac:dyDescent="0.25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 x14ac:dyDescent="0.25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 x14ac:dyDescent="0.25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 x14ac:dyDescent="0.25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 x14ac:dyDescent="0.25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 x14ac:dyDescent="0.25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 x14ac:dyDescent="0.25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 x14ac:dyDescent="0.25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 x14ac:dyDescent="0.25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 x14ac:dyDescent="0.25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 x14ac:dyDescent="0.25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 x14ac:dyDescent="0.25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 x14ac:dyDescent="0.25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 x14ac:dyDescent="0.25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 x14ac:dyDescent="0.25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 x14ac:dyDescent="0.25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 x14ac:dyDescent="0.25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 x14ac:dyDescent="0.25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 x14ac:dyDescent="0.25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 x14ac:dyDescent="0.25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 x14ac:dyDescent="0.25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 x14ac:dyDescent="0.25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 x14ac:dyDescent="0.25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 x14ac:dyDescent="0.25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 x14ac:dyDescent="0.25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 x14ac:dyDescent="0.25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 x14ac:dyDescent="0.25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 x14ac:dyDescent="0.25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 x14ac:dyDescent="0.25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 x14ac:dyDescent="0.25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 x14ac:dyDescent="0.25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 x14ac:dyDescent="0.25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 x14ac:dyDescent="0.25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 x14ac:dyDescent="0.25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 x14ac:dyDescent="0.25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 x14ac:dyDescent="0.25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 x14ac:dyDescent="0.25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 x14ac:dyDescent="0.25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 x14ac:dyDescent="0.25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 x14ac:dyDescent="0.25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 x14ac:dyDescent="0.25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 x14ac:dyDescent="0.25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 x14ac:dyDescent="0.25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 x14ac:dyDescent="0.25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 x14ac:dyDescent="0.25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 x14ac:dyDescent="0.25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 x14ac:dyDescent="0.25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 x14ac:dyDescent="0.25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 x14ac:dyDescent="0.25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 x14ac:dyDescent="0.25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 x14ac:dyDescent="0.25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 x14ac:dyDescent="0.25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 x14ac:dyDescent="0.25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 x14ac:dyDescent="0.25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 x14ac:dyDescent="0.25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 x14ac:dyDescent="0.25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 x14ac:dyDescent="0.25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 x14ac:dyDescent="0.25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 x14ac:dyDescent="0.25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 x14ac:dyDescent="0.25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 x14ac:dyDescent="0.25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 x14ac:dyDescent="0.25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 x14ac:dyDescent="0.25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 x14ac:dyDescent="0.25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 x14ac:dyDescent="0.25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 x14ac:dyDescent="0.25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 x14ac:dyDescent="0.25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 x14ac:dyDescent="0.25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 x14ac:dyDescent="0.25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 x14ac:dyDescent="0.25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 x14ac:dyDescent="0.25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 x14ac:dyDescent="0.25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 x14ac:dyDescent="0.25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 x14ac:dyDescent="0.25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 x14ac:dyDescent="0.25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 x14ac:dyDescent="0.25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 x14ac:dyDescent="0.25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 x14ac:dyDescent="0.25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 x14ac:dyDescent="0.25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 x14ac:dyDescent="0.25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 x14ac:dyDescent="0.25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 x14ac:dyDescent="0.25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 x14ac:dyDescent="0.25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 x14ac:dyDescent="0.25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 x14ac:dyDescent="0.25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 x14ac:dyDescent="0.25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 x14ac:dyDescent="0.25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 x14ac:dyDescent="0.25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 x14ac:dyDescent="0.25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 x14ac:dyDescent="0.25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 x14ac:dyDescent="0.25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 x14ac:dyDescent="0.25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 x14ac:dyDescent="0.25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 x14ac:dyDescent="0.25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 x14ac:dyDescent="0.25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 x14ac:dyDescent="0.25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 x14ac:dyDescent="0.25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 x14ac:dyDescent="0.25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 x14ac:dyDescent="0.25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 x14ac:dyDescent="0.25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 x14ac:dyDescent="0.25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 x14ac:dyDescent="0.25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 x14ac:dyDescent="0.25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 x14ac:dyDescent="0.25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 x14ac:dyDescent="0.25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 x14ac:dyDescent="0.25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 x14ac:dyDescent="0.25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 x14ac:dyDescent="0.25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 x14ac:dyDescent="0.25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 x14ac:dyDescent="0.25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 x14ac:dyDescent="0.25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 x14ac:dyDescent="0.25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 x14ac:dyDescent="0.25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 x14ac:dyDescent="0.25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 x14ac:dyDescent="0.25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 x14ac:dyDescent="0.25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 x14ac:dyDescent="0.25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 x14ac:dyDescent="0.25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 x14ac:dyDescent="0.25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 x14ac:dyDescent="0.25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 x14ac:dyDescent="0.25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 x14ac:dyDescent="0.25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 x14ac:dyDescent="0.25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 x14ac:dyDescent="0.25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 x14ac:dyDescent="0.25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 x14ac:dyDescent="0.25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 x14ac:dyDescent="0.25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 x14ac:dyDescent="0.25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 x14ac:dyDescent="0.25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 x14ac:dyDescent="0.25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 x14ac:dyDescent="0.25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 x14ac:dyDescent="0.25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 x14ac:dyDescent="0.25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 x14ac:dyDescent="0.25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 x14ac:dyDescent="0.25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 x14ac:dyDescent="0.25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 x14ac:dyDescent="0.25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 x14ac:dyDescent="0.25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 x14ac:dyDescent="0.25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 x14ac:dyDescent="0.25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 x14ac:dyDescent="0.25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 x14ac:dyDescent="0.25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 x14ac:dyDescent="0.25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 x14ac:dyDescent="0.25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 x14ac:dyDescent="0.25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 x14ac:dyDescent="0.25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 x14ac:dyDescent="0.25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 x14ac:dyDescent="0.25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 x14ac:dyDescent="0.25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 x14ac:dyDescent="0.25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 x14ac:dyDescent="0.25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 x14ac:dyDescent="0.25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 x14ac:dyDescent="0.25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 x14ac:dyDescent="0.25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 x14ac:dyDescent="0.25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 x14ac:dyDescent="0.25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 x14ac:dyDescent="0.25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 x14ac:dyDescent="0.25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 x14ac:dyDescent="0.25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 x14ac:dyDescent="0.25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 x14ac:dyDescent="0.25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 x14ac:dyDescent="0.25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 x14ac:dyDescent="0.25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 x14ac:dyDescent="0.25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 x14ac:dyDescent="0.25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 x14ac:dyDescent="0.25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 x14ac:dyDescent="0.25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 x14ac:dyDescent="0.25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 x14ac:dyDescent="0.25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 x14ac:dyDescent="0.25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 x14ac:dyDescent="0.25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 x14ac:dyDescent="0.25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 x14ac:dyDescent="0.25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 x14ac:dyDescent="0.25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 x14ac:dyDescent="0.25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 x14ac:dyDescent="0.25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 x14ac:dyDescent="0.25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 x14ac:dyDescent="0.25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 x14ac:dyDescent="0.25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 x14ac:dyDescent="0.25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 x14ac:dyDescent="0.25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 x14ac:dyDescent="0.25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 x14ac:dyDescent="0.25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 x14ac:dyDescent="0.25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 x14ac:dyDescent="0.25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 x14ac:dyDescent="0.25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 x14ac:dyDescent="0.25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 x14ac:dyDescent="0.25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 x14ac:dyDescent="0.25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 x14ac:dyDescent="0.25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 x14ac:dyDescent="0.25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 x14ac:dyDescent="0.25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 x14ac:dyDescent="0.25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 x14ac:dyDescent="0.25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 x14ac:dyDescent="0.25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 x14ac:dyDescent="0.25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 x14ac:dyDescent="0.25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 x14ac:dyDescent="0.25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 x14ac:dyDescent="0.25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 x14ac:dyDescent="0.25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 x14ac:dyDescent="0.25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 x14ac:dyDescent="0.25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 x14ac:dyDescent="0.25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 x14ac:dyDescent="0.25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 x14ac:dyDescent="0.25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 x14ac:dyDescent="0.25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 x14ac:dyDescent="0.25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 x14ac:dyDescent="0.25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 x14ac:dyDescent="0.25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 x14ac:dyDescent="0.25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 x14ac:dyDescent="0.25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 x14ac:dyDescent="0.25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 x14ac:dyDescent="0.25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 x14ac:dyDescent="0.25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 x14ac:dyDescent="0.25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 x14ac:dyDescent="0.25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 x14ac:dyDescent="0.25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 x14ac:dyDescent="0.25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 x14ac:dyDescent="0.25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 x14ac:dyDescent="0.25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 x14ac:dyDescent="0.25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 x14ac:dyDescent="0.25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 x14ac:dyDescent="0.25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 x14ac:dyDescent="0.25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 x14ac:dyDescent="0.25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 x14ac:dyDescent="0.25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 x14ac:dyDescent="0.25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 x14ac:dyDescent="0.25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 x14ac:dyDescent="0.25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 x14ac:dyDescent="0.25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 x14ac:dyDescent="0.25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 x14ac:dyDescent="0.25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 x14ac:dyDescent="0.25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 x14ac:dyDescent="0.25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 x14ac:dyDescent="0.25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 x14ac:dyDescent="0.25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 x14ac:dyDescent="0.25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 x14ac:dyDescent="0.25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 x14ac:dyDescent="0.25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 x14ac:dyDescent="0.25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 x14ac:dyDescent="0.25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 x14ac:dyDescent="0.25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 x14ac:dyDescent="0.25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 x14ac:dyDescent="0.25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 x14ac:dyDescent="0.25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 x14ac:dyDescent="0.25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 x14ac:dyDescent="0.25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 x14ac:dyDescent="0.25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 x14ac:dyDescent="0.25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 x14ac:dyDescent="0.25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 x14ac:dyDescent="0.25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 x14ac:dyDescent="0.25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 x14ac:dyDescent="0.25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 x14ac:dyDescent="0.25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 x14ac:dyDescent="0.25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 x14ac:dyDescent="0.25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 x14ac:dyDescent="0.25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 x14ac:dyDescent="0.25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 x14ac:dyDescent="0.25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 x14ac:dyDescent="0.25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 x14ac:dyDescent="0.25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 x14ac:dyDescent="0.25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 x14ac:dyDescent="0.25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 x14ac:dyDescent="0.25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 x14ac:dyDescent="0.25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 x14ac:dyDescent="0.25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 x14ac:dyDescent="0.25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 x14ac:dyDescent="0.25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 x14ac:dyDescent="0.25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 x14ac:dyDescent="0.25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 x14ac:dyDescent="0.25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 x14ac:dyDescent="0.25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 x14ac:dyDescent="0.25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 x14ac:dyDescent="0.25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 x14ac:dyDescent="0.25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 x14ac:dyDescent="0.25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 x14ac:dyDescent="0.25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 x14ac:dyDescent="0.25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 x14ac:dyDescent="0.25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 x14ac:dyDescent="0.25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 x14ac:dyDescent="0.25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 x14ac:dyDescent="0.25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 x14ac:dyDescent="0.25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 x14ac:dyDescent="0.25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 x14ac:dyDescent="0.25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 x14ac:dyDescent="0.25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 x14ac:dyDescent="0.25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 x14ac:dyDescent="0.25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 x14ac:dyDescent="0.25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 x14ac:dyDescent="0.25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 x14ac:dyDescent="0.25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 x14ac:dyDescent="0.25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 x14ac:dyDescent="0.25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 x14ac:dyDescent="0.25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 x14ac:dyDescent="0.25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 x14ac:dyDescent="0.25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 x14ac:dyDescent="0.25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 x14ac:dyDescent="0.25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 x14ac:dyDescent="0.25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 x14ac:dyDescent="0.25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 x14ac:dyDescent="0.25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 x14ac:dyDescent="0.25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 x14ac:dyDescent="0.25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 x14ac:dyDescent="0.25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 x14ac:dyDescent="0.25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 x14ac:dyDescent="0.25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 x14ac:dyDescent="0.25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 x14ac:dyDescent="0.25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 x14ac:dyDescent="0.25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 x14ac:dyDescent="0.25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 x14ac:dyDescent="0.25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 x14ac:dyDescent="0.25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 x14ac:dyDescent="0.25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 x14ac:dyDescent="0.25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 x14ac:dyDescent="0.25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 x14ac:dyDescent="0.25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 x14ac:dyDescent="0.25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 x14ac:dyDescent="0.25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 x14ac:dyDescent="0.25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 x14ac:dyDescent="0.25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 x14ac:dyDescent="0.25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 x14ac:dyDescent="0.25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 x14ac:dyDescent="0.25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 x14ac:dyDescent="0.25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 x14ac:dyDescent="0.25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 x14ac:dyDescent="0.25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 x14ac:dyDescent="0.25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 x14ac:dyDescent="0.25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 x14ac:dyDescent="0.25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 x14ac:dyDescent="0.25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 x14ac:dyDescent="0.25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 x14ac:dyDescent="0.25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 x14ac:dyDescent="0.25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 x14ac:dyDescent="0.25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 x14ac:dyDescent="0.25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 x14ac:dyDescent="0.25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 x14ac:dyDescent="0.25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 x14ac:dyDescent="0.25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 x14ac:dyDescent="0.25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 x14ac:dyDescent="0.25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 x14ac:dyDescent="0.25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 x14ac:dyDescent="0.25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 x14ac:dyDescent="0.25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 x14ac:dyDescent="0.25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 x14ac:dyDescent="0.25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 x14ac:dyDescent="0.25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 x14ac:dyDescent="0.25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 x14ac:dyDescent="0.25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 x14ac:dyDescent="0.25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 x14ac:dyDescent="0.25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 x14ac:dyDescent="0.25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 x14ac:dyDescent="0.25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 x14ac:dyDescent="0.25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 x14ac:dyDescent="0.25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 x14ac:dyDescent="0.25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 x14ac:dyDescent="0.25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 x14ac:dyDescent="0.25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 x14ac:dyDescent="0.25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 x14ac:dyDescent="0.25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 x14ac:dyDescent="0.25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 x14ac:dyDescent="0.25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 x14ac:dyDescent="0.25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 x14ac:dyDescent="0.25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 x14ac:dyDescent="0.25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 x14ac:dyDescent="0.25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 x14ac:dyDescent="0.25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 x14ac:dyDescent="0.25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 x14ac:dyDescent="0.25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 x14ac:dyDescent="0.25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 x14ac:dyDescent="0.25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 x14ac:dyDescent="0.25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 x14ac:dyDescent="0.25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 x14ac:dyDescent="0.25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 x14ac:dyDescent="0.25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 x14ac:dyDescent="0.25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 x14ac:dyDescent="0.25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 x14ac:dyDescent="0.25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 x14ac:dyDescent="0.25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 x14ac:dyDescent="0.25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 x14ac:dyDescent="0.25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 x14ac:dyDescent="0.25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 x14ac:dyDescent="0.25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 x14ac:dyDescent="0.25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 x14ac:dyDescent="0.25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 x14ac:dyDescent="0.25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 x14ac:dyDescent="0.25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 x14ac:dyDescent="0.25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 x14ac:dyDescent="0.25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 x14ac:dyDescent="0.25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 x14ac:dyDescent="0.25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 x14ac:dyDescent="0.25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 x14ac:dyDescent="0.25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 x14ac:dyDescent="0.25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 x14ac:dyDescent="0.25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 x14ac:dyDescent="0.25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 x14ac:dyDescent="0.25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 x14ac:dyDescent="0.25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 x14ac:dyDescent="0.25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 x14ac:dyDescent="0.25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 x14ac:dyDescent="0.25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 x14ac:dyDescent="0.25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 x14ac:dyDescent="0.25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 x14ac:dyDescent="0.25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 x14ac:dyDescent="0.25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 x14ac:dyDescent="0.25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 x14ac:dyDescent="0.25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 x14ac:dyDescent="0.25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 x14ac:dyDescent="0.25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 x14ac:dyDescent="0.25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 x14ac:dyDescent="0.25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 x14ac:dyDescent="0.25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 x14ac:dyDescent="0.25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 x14ac:dyDescent="0.25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 x14ac:dyDescent="0.25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 x14ac:dyDescent="0.25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 x14ac:dyDescent="0.25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 x14ac:dyDescent="0.25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 x14ac:dyDescent="0.25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 x14ac:dyDescent="0.25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 x14ac:dyDescent="0.25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 x14ac:dyDescent="0.25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 x14ac:dyDescent="0.25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 x14ac:dyDescent="0.25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 x14ac:dyDescent="0.25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 x14ac:dyDescent="0.25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 x14ac:dyDescent="0.25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 x14ac:dyDescent="0.25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 x14ac:dyDescent="0.25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 x14ac:dyDescent="0.25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 x14ac:dyDescent="0.25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 x14ac:dyDescent="0.25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 x14ac:dyDescent="0.25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 x14ac:dyDescent="0.25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 x14ac:dyDescent="0.25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 x14ac:dyDescent="0.25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 x14ac:dyDescent="0.25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 x14ac:dyDescent="0.25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 x14ac:dyDescent="0.25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 x14ac:dyDescent="0.25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 x14ac:dyDescent="0.25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 x14ac:dyDescent="0.25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 x14ac:dyDescent="0.25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 x14ac:dyDescent="0.25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 x14ac:dyDescent="0.25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 x14ac:dyDescent="0.25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 x14ac:dyDescent="0.25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 x14ac:dyDescent="0.25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 x14ac:dyDescent="0.25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 x14ac:dyDescent="0.25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 x14ac:dyDescent="0.25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 x14ac:dyDescent="0.25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 x14ac:dyDescent="0.25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 x14ac:dyDescent="0.25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 x14ac:dyDescent="0.25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 x14ac:dyDescent="0.25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 x14ac:dyDescent="0.25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 x14ac:dyDescent="0.25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 x14ac:dyDescent="0.25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 x14ac:dyDescent="0.25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 x14ac:dyDescent="0.25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 x14ac:dyDescent="0.25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 x14ac:dyDescent="0.25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 x14ac:dyDescent="0.25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 x14ac:dyDescent="0.25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 x14ac:dyDescent="0.25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 x14ac:dyDescent="0.25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 x14ac:dyDescent="0.25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 x14ac:dyDescent="0.25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 x14ac:dyDescent="0.25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 x14ac:dyDescent="0.25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 x14ac:dyDescent="0.25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 x14ac:dyDescent="0.25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 x14ac:dyDescent="0.25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 x14ac:dyDescent="0.25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 x14ac:dyDescent="0.25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 x14ac:dyDescent="0.25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 x14ac:dyDescent="0.25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 x14ac:dyDescent="0.25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 x14ac:dyDescent="0.25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 x14ac:dyDescent="0.25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 x14ac:dyDescent="0.25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 x14ac:dyDescent="0.25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 x14ac:dyDescent="0.25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 x14ac:dyDescent="0.25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 x14ac:dyDescent="0.25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 x14ac:dyDescent="0.25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 x14ac:dyDescent="0.25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 x14ac:dyDescent="0.25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 x14ac:dyDescent="0.25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 x14ac:dyDescent="0.25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 x14ac:dyDescent="0.25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 x14ac:dyDescent="0.25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 x14ac:dyDescent="0.25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 x14ac:dyDescent="0.25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 x14ac:dyDescent="0.25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 x14ac:dyDescent="0.25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 x14ac:dyDescent="0.25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 x14ac:dyDescent="0.25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 x14ac:dyDescent="0.25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 x14ac:dyDescent="0.25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 x14ac:dyDescent="0.25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 x14ac:dyDescent="0.25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 x14ac:dyDescent="0.25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 x14ac:dyDescent="0.25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 x14ac:dyDescent="0.25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 x14ac:dyDescent="0.25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 x14ac:dyDescent="0.25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 x14ac:dyDescent="0.25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 x14ac:dyDescent="0.25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 x14ac:dyDescent="0.25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 x14ac:dyDescent="0.25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 x14ac:dyDescent="0.25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 x14ac:dyDescent="0.25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 x14ac:dyDescent="0.25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 x14ac:dyDescent="0.25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 x14ac:dyDescent="0.25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 x14ac:dyDescent="0.25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 x14ac:dyDescent="0.25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 x14ac:dyDescent="0.25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 x14ac:dyDescent="0.25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 x14ac:dyDescent="0.25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 x14ac:dyDescent="0.25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 x14ac:dyDescent="0.25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 x14ac:dyDescent="0.25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 x14ac:dyDescent="0.25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 x14ac:dyDescent="0.25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 x14ac:dyDescent="0.25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 x14ac:dyDescent="0.25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 x14ac:dyDescent="0.25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 x14ac:dyDescent="0.25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 x14ac:dyDescent="0.25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 x14ac:dyDescent="0.25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 x14ac:dyDescent="0.25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 x14ac:dyDescent="0.25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 x14ac:dyDescent="0.25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 x14ac:dyDescent="0.25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 x14ac:dyDescent="0.25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 x14ac:dyDescent="0.25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 x14ac:dyDescent="0.25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 x14ac:dyDescent="0.25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 x14ac:dyDescent="0.25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 x14ac:dyDescent="0.25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 x14ac:dyDescent="0.25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 x14ac:dyDescent="0.25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 x14ac:dyDescent="0.25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 x14ac:dyDescent="0.25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 x14ac:dyDescent="0.25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 x14ac:dyDescent="0.25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 x14ac:dyDescent="0.25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 x14ac:dyDescent="0.25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 x14ac:dyDescent="0.25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 x14ac:dyDescent="0.25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 x14ac:dyDescent="0.25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 x14ac:dyDescent="0.25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 x14ac:dyDescent="0.25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 x14ac:dyDescent="0.25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 x14ac:dyDescent="0.25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 x14ac:dyDescent="0.25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 x14ac:dyDescent="0.25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 x14ac:dyDescent="0.25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 x14ac:dyDescent="0.25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 x14ac:dyDescent="0.25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 x14ac:dyDescent="0.25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 x14ac:dyDescent="0.25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 x14ac:dyDescent="0.25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 x14ac:dyDescent="0.25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 x14ac:dyDescent="0.25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 x14ac:dyDescent="0.25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 x14ac:dyDescent="0.25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 x14ac:dyDescent="0.25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 x14ac:dyDescent="0.25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 x14ac:dyDescent="0.25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 x14ac:dyDescent="0.25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 x14ac:dyDescent="0.25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 x14ac:dyDescent="0.25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 x14ac:dyDescent="0.25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 x14ac:dyDescent="0.25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 x14ac:dyDescent="0.25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 x14ac:dyDescent="0.25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 x14ac:dyDescent="0.25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 x14ac:dyDescent="0.25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 x14ac:dyDescent="0.25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 x14ac:dyDescent="0.25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 x14ac:dyDescent="0.25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 x14ac:dyDescent="0.25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 x14ac:dyDescent="0.25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 x14ac:dyDescent="0.25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 x14ac:dyDescent="0.25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 x14ac:dyDescent="0.25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 x14ac:dyDescent="0.25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 x14ac:dyDescent="0.25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 x14ac:dyDescent="0.25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 x14ac:dyDescent="0.25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 x14ac:dyDescent="0.25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 x14ac:dyDescent="0.25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 x14ac:dyDescent="0.25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 x14ac:dyDescent="0.25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 x14ac:dyDescent="0.25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 x14ac:dyDescent="0.25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 x14ac:dyDescent="0.25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 x14ac:dyDescent="0.25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 x14ac:dyDescent="0.25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 x14ac:dyDescent="0.25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 x14ac:dyDescent="0.25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 x14ac:dyDescent="0.25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 x14ac:dyDescent="0.25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 x14ac:dyDescent="0.25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 x14ac:dyDescent="0.25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 x14ac:dyDescent="0.25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 x14ac:dyDescent="0.25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 x14ac:dyDescent="0.25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 x14ac:dyDescent="0.25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 x14ac:dyDescent="0.25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 x14ac:dyDescent="0.25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 x14ac:dyDescent="0.25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 x14ac:dyDescent="0.25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 x14ac:dyDescent="0.25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 x14ac:dyDescent="0.25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 x14ac:dyDescent="0.25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 x14ac:dyDescent="0.25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 x14ac:dyDescent="0.25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 x14ac:dyDescent="0.25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 x14ac:dyDescent="0.25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 x14ac:dyDescent="0.25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 x14ac:dyDescent="0.25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 x14ac:dyDescent="0.25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 x14ac:dyDescent="0.25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 x14ac:dyDescent="0.25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 x14ac:dyDescent="0.25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 x14ac:dyDescent="0.25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 x14ac:dyDescent="0.25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 x14ac:dyDescent="0.25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 x14ac:dyDescent="0.25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 x14ac:dyDescent="0.25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 x14ac:dyDescent="0.25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 x14ac:dyDescent="0.25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 x14ac:dyDescent="0.25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 x14ac:dyDescent="0.25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 x14ac:dyDescent="0.25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 x14ac:dyDescent="0.25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 x14ac:dyDescent="0.25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 x14ac:dyDescent="0.25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 x14ac:dyDescent="0.25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 x14ac:dyDescent="0.25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 x14ac:dyDescent="0.25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 x14ac:dyDescent="0.25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 x14ac:dyDescent="0.25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 x14ac:dyDescent="0.25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 x14ac:dyDescent="0.25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 x14ac:dyDescent="0.25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 x14ac:dyDescent="0.25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 x14ac:dyDescent="0.25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 x14ac:dyDescent="0.25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 x14ac:dyDescent="0.25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 x14ac:dyDescent="0.25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 x14ac:dyDescent="0.25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 x14ac:dyDescent="0.25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 x14ac:dyDescent="0.25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 x14ac:dyDescent="0.25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 x14ac:dyDescent="0.25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 x14ac:dyDescent="0.25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 x14ac:dyDescent="0.25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 x14ac:dyDescent="0.25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 x14ac:dyDescent="0.25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 x14ac:dyDescent="0.25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 x14ac:dyDescent="0.25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 x14ac:dyDescent="0.25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 x14ac:dyDescent="0.25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 x14ac:dyDescent="0.25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 x14ac:dyDescent="0.25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 x14ac:dyDescent="0.25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 x14ac:dyDescent="0.25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 x14ac:dyDescent="0.25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 x14ac:dyDescent="0.25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 x14ac:dyDescent="0.25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 x14ac:dyDescent="0.25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 x14ac:dyDescent="0.25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 x14ac:dyDescent="0.25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 x14ac:dyDescent="0.25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 x14ac:dyDescent="0.25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 x14ac:dyDescent="0.25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 x14ac:dyDescent="0.25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 x14ac:dyDescent="0.25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 x14ac:dyDescent="0.25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 x14ac:dyDescent="0.25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 x14ac:dyDescent="0.25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 x14ac:dyDescent="0.25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 x14ac:dyDescent="0.25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 x14ac:dyDescent="0.25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 x14ac:dyDescent="0.25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 x14ac:dyDescent="0.25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 x14ac:dyDescent="0.25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 x14ac:dyDescent="0.25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 x14ac:dyDescent="0.25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 x14ac:dyDescent="0.25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 x14ac:dyDescent="0.25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 x14ac:dyDescent="0.25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 x14ac:dyDescent="0.25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 x14ac:dyDescent="0.25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 x14ac:dyDescent="0.25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 x14ac:dyDescent="0.25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 x14ac:dyDescent="0.25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 x14ac:dyDescent="0.25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 x14ac:dyDescent="0.25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 x14ac:dyDescent="0.25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 x14ac:dyDescent="0.25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 x14ac:dyDescent="0.25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 x14ac:dyDescent="0.25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 x14ac:dyDescent="0.25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 x14ac:dyDescent="0.25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 x14ac:dyDescent="0.25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 x14ac:dyDescent="0.25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 x14ac:dyDescent="0.25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 x14ac:dyDescent="0.25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 x14ac:dyDescent="0.25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 x14ac:dyDescent="0.25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 x14ac:dyDescent="0.25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 x14ac:dyDescent="0.25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 x14ac:dyDescent="0.25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 x14ac:dyDescent="0.25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 x14ac:dyDescent="0.25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 x14ac:dyDescent="0.25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 x14ac:dyDescent="0.25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 x14ac:dyDescent="0.25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 x14ac:dyDescent="0.25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 x14ac:dyDescent="0.25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 x14ac:dyDescent="0.25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 x14ac:dyDescent="0.25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 x14ac:dyDescent="0.25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 x14ac:dyDescent="0.25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 x14ac:dyDescent="0.25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 x14ac:dyDescent="0.25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 x14ac:dyDescent="0.25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 x14ac:dyDescent="0.25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 x14ac:dyDescent="0.25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 x14ac:dyDescent="0.25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 x14ac:dyDescent="0.25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 x14ac:dyDescent="0.25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 x14ac:dyDescent="0.25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 x14ac:dyDescent="0.25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 x14ac:dyDescent="0.25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 x14ac:dyDescent="0.25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 x14ac:dyDescent="0.25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 x14ac:dyDescent="0.25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 x14ac:dyDescent="0.25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 x14ac:dyDescent="0.25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 x14ac:dyDescent="0.25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 x14ac:dyDescent="0.25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 x14ac:dyDescent="0.25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 x14ac:dyDescent="0.25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 x14ac:dyDescent="0.25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 x14ac:dyDescent="0.25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 x14ac:dyDescent="0.25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 x14ac:dyDescent="0.25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 x14ac:dyDescent="0.25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 x14ac:dyDescent="0.25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 x14ac:dyDescent="0.25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 x14ac:dyDescent="0.25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 x14ac:dyDescent="0.25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 x14ac:dyDescent="0.25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 x14ac:dyDescent="0.25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 x14ac:dyDescent="0.25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 x14ac:dyDescent="0.25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 x14ac:dyDescent="0.25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 x14ac:dyDescent="0.25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 x14ac:dyDescent="0.25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 x14ac:dyDescent="0.25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 x14ac:dyDescent="0.25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 x14ac:dyDescent="0.25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 x14ac:dyDescent="0.25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 x14ac:dyDescent="0.25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 x14ac:dyDescent="0.25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 x14ac:dyDescent="0.25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 x14ac:dyDescent="0.25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 x14ac:dyDescent="0.25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 x14ac:dyDescent="0.25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 x14ac:dyDescent="0.25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 x14ac:dyDescent="0.25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 x14ac:dyDescent="0.25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 x14ac:dyDescent="0.25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 x14ac:dyDescent="0.25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 x14ac:dyDescent="0.25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 x14ac:dyDescent="0.25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 x14ac:dyDescent="0.25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 x14ac:dyDescent="0.25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 x14ac:dyDescent="0.25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 x14ac:dyDescent="0.25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 x14ac:dyDescent="0.25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 x14ac:dyDescent="0.25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 x14ac:dyDescent="0.25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 x14ac:dyDescent="0.25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 x14ac:dyDescent="0.25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 x14ac:dyDescent="0.25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 x14ac:dyDescent="0.25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 x14ac:dyDescent="0.25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 x14ac:dyDescent="0.25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 x14ac:dyDescent="0.25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 x14ac:dyDescent="0.25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 x14ac:dyDescent="0.25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 x14ac:dyDescent="0.25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 x14ac:dyDescent="0.25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 x14ac:dyDescent="0.25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 x14ac:dyDescent="0.25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 x14ac:dyDescent="0.25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 x14ac:dyDescent="0.25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 x14ac:dyDescent="0.25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 x14ac:dyDescent="0.25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 x14ac:dyDescent="0.25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 x14ac:dyDescent="0.25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 x14ac:dyDescent="0.25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 x14ac:dyDescent="0.25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 x14ac:dyDescent="0.25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 x14ac:dyDescent="0.25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 x14ac:dyDescent="0.25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 x14ac:dyDescent="0.25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 x14ac:dyDescent="0.25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 x14ac:dyDescent="0.25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 x14ac:dyDescent="0.25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 x14ac:dyDescent="0.25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 x14ac:dyDescent="0.25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 x14ac:dyDescent="0.25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 x14ac:dyDescent="0.25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 x14ac:dyDescent="0.25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 x14ac:dyDescent="0.25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 x14ac:dyDescent="0.25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 x14ac:dyDescent="0.25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 x14ac:dyDescent="0.25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 x14ac:dyDescent="0.25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 x14ac:dyDescent="0.25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 x14ac:dyDescent="0.25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 x14ac:dyDescent="0.25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 x14ac:dyDescent="0.25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 x14ac:dyDescent="0.25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 x14ac:dyDescent="0.25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 x14ac:dyDescent="0.25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 x14ac:dyDescent="0.25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 x14ac:dyDescent="0.25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 x14ac:dyDescent="0.25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 x14ac:dyDescent="0.25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 x14ac:dyDescent="0.25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 x14ac:dyDescent="0.25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 x14ac:dyDescent="0.25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 x14ac:dyDescent="0.25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 x14ac:dyDescent="0.25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 x14ac:dyDescent="0.25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 x14ac:dyDescent="0.25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 x14ac:dyDescent="0.25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 x14ac:dyDescent="0.25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 x14ac:dyDescent="0.25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 x14ac:dyDescent="0.25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 x14ac:dyDescent="0.25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 x14ac:dyDescent="0.25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 x14ac:dyDescent="0.25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 x14ac:dyDescent="0.25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 x14ac:dyDescent="0.25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 x14ac:dyDescent="0.25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 x14ac:dyDescent="0.25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 x14ac:dyDescent="0.25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 x14ac:dyDescent="0.25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 x14ac:dyDescent="0.25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 x14ac:dyDescent="0.25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 x14ac:dyDescent="0.25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 x14ac:dyDescent="0.25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 x14ac:dyDescent="0.25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 x14ac:dyDescent="0.25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 x14ac:dyDescent="0.25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 x14ac:dyDescent="0.25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 x14ac:dyDescent="0.25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 x14ac:dyDescent="0.25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 x14ac:dyDescent="0.25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 x14ac:dyDescent="0.25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 x14ac:dyDescent="0.25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 x14ac:dyDescent="0.25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 x14ac:dyDescent="0.25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 x14ac:dyDescent="0.25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 x14ac:dyDescent="0.25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 x14ac:dyDescent="0.25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 x14ac:dyDescent="0.25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 x14ac:dyDescent="0.25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 x14ac:dyDescent="0.25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 x14ac:dyDescent="0.25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 x14ac:dyDescent="0.25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 x14ac:dyDescent="0.25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 x14ac:dyDescent="0.25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 x14ac:dyDescent="0.25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 x14ac:dyDescent="0.25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 x14ac:dyDescent="0.25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 x14ac:dyDescent="0.25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 x14ac:dyDescent="0.25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 x14ac:dyDescent="0.25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 x14ac:dyDescent="0.25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 x14ac:dyDescent="0.25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 x14ac:dyDescent="0.25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 x14ac:dyDescent="0.25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 x14ac:dyDescent="0.25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 x14ac:dyDescent="0.25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 x14ac:dyDescent="0.25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 x14ac:dyDescent="0.25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 x14ac:dyDescent="0.25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 x14ac:dyDescent="0.25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 x14ac:dyDescent="0.25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 x14ac:dyDescent="0.25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 x14ac:dyDescent="0.25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 x14ac:dyDescent="0.25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 x14ac:dyDescent="0.25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 x14ac:dyDescent="0.25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 x14ac:dyDescent="0.25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 x14ac:dyDescent="0.25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 x14ac:dyDescent="0.25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 x14ac:dyDescent="0.25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 x14ac:dyDescent="0.25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 x14ac:dyDescent="0.25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 x14ac:dyDescent="0.25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 x14ac:dyDescent="0.25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 x14ac:dyDescent="0.25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 x14ac:dyDescent="0.25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 x14ac:dyDescent="0.25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 x14ac:dyDescent="0.25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 x14ac:dyDescent="0.25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 x14ac:dyDescent="0.25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 x14ac:dyDescent="0.25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 x14ac:dyDescent="0.25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 x14ac:dyDescent="0.25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 x14ac:dyDescent="0.25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 x14ac:dyDescent="0.25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 x14ac:dyDescent="0.25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 x14ac:dyDescent="0.25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 x14ac:dyDescent="0.25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 x14ac:dyDescent="0.25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 x14ac:dyDescent="0.25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 x14ac:dyDescent="0.25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 x14ac:dyDescent="0.25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 x14ac:dyDescent="0.25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 x14ac:dyDescent="0.25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 x14ac:dyDescent="0.25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 x14ac:dyDescent="0.25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 x14ac:dyDescent="0.25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 x14ac:dyDescent="0.25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 x14ac:dyDescent="0.25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 x14ac:dyDescent="0.25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 x14ac:dyDescent="0.25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 x14ac:dyDescent="0.25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 x14ac:dyDescent="0.25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 x14ac:dyDescent="0.25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 x14ac:dyDescent="0.25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 x14ac:dyDescent="0.25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 x14ac:dyDescent="0.25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 x14ac:dyDescent="0.25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 x14ac:dyDescent="0.25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 x14ac:dyDescent="0.25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 x14ac:dyDescent="0.25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 x14ac:dyDescent="0.25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 x14ac:dyDescent="0.25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 x14ac:dyDescent="0.25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 x14ac:dyDescent="0.25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 x14ac:dyDescent="0.25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 x14ac:dyDescent="0.25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 x14ac:dyDescent="0.25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 x14ac:dyDescent="0.25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 x14ac:dyDescent="0.25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 x14ac:dyDescent="0.25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 x14ac:dyDescent="0.25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 x14ac:dyDescent="0.25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 x14ac:dyDescent="0.25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 x14ac:dyDescent="0.25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 x14ac:dyDescent="0.25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 x14ac:dyDescent="0.25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 x14ac:dyDescent="0.25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 x14ac:dyDescent="0.25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 x14ac:dyDescent="0.25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 x14ac:dyDescent="0.25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 x14ac:dyDescent="0.25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 x14ac:dyDescent="0.25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 x14ac:dyDescent="0.25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 x14ac:dyDescent="0.25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 x14ac:dyDescent="0.25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 x14ac:dyDescent="0.25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 x14ac:dyDescent="0.25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 x14ac:dyDescent="0.25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 x14ac:dyDescent="0.25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 x14ac:dyDescent="0.25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 x14ac:dyDescent="0.25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 x14ac:dyDescent="0.25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 x14ac:dyDescent="0.25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 x14ac:dyDescent="0.25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 x14ac:dyDescent="0.25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 x14ac:dyDescent="0.25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 x14ac:dyDescent="0.25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 x14ac:dyDescent="0.25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 x14ac:dyDescent="0.25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 x14ac:dyDescent="0.25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 x14ac:dyDescent="0.25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 x14ac:dyDescent="0.25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 x14ac:dyDescent="0.25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 x14ac:dyDescent="0.25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 x14ac:dyDescent="0.25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 x14ac:dyDescent="0.25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 x14ac:dyDescent="0.25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 x14ac:dyDescent="0.25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 x14ac:dyDescent="0.25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 x14ac:dyDescent="0.25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 x14ac:dyDescent="0.25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 x14ac:dyDescent="0.25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 x14ac:dyDescent="0.25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 x14ac:dyDescent="0.25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 x14ac:dyDescent="0.25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 x14ac:dyDescent="0.25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 x14ac:dyDescent="0.25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 x14ac:dyDescent="0.25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 x14ac:dyDescent="0.25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 x14ac:dyDescent="0.25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 x14ac:dyDescent="0.25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 x14ac:dyDescent="0.25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 x14ac:dyDescent="0.25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 x14ac:dyDescent="0.25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 x14ac:dyDescent="0.25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 x14ac:dyDescent="0.25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 x14ac:dyDescent="0.25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 x14ac:dyDescent="0.25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 x14ac:dyDescent="0.25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 x14ac:dyDescent="0.25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 x14ac:dyDescent="0.25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 x14ac:dyDescent="0.25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 x14ac:dyDescent="0.25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 x14ac:dyDescent="0.25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 x14ac:dyDescent="0.25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 x14ac:dyDescent="0.25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 x14ac:dyDescent="0.25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 x14ac:dyDescent="0.25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 x14ac:dyDescent="0.25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 x14ac:dyDescent="0.25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 x14ac:dyDescent="0.25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 x14ac:dyDescent="0.25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 x14ac:dyDescent="0.25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 x14ac:dyDescent="0.25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 x14ac:dyDescent="0.25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 x14ac:dyDescent="0.25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 x14ac:dyDescent="0.25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 x14ac:dyDescent="0.25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 x14ac:dyDescent="0.25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 x14ac:dyDescent="0.25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 x14ac:dyDescent="0.25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 x14ac:dyDescent="0.25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 x14ac:dyDescent="0.25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 x14ac:dyDescent="0.25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 x14ac:dyDescent="0.25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 x14ac:dyDescent="0.25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 x14ac:dyDescent="0.25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 x14ac:dyDescent="0.25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 x14ac:dyDescent="0.25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 x14ac:dyDescent="0.25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 x14ac:dyDescent="0.25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 x14ac:dyDescent="0.25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 x14ac:dyDescent="0.25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 x14ac:dyDescent="0.25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 x14ac:dyDescent="0.25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 x14ac:dyDescent="0.25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 x14ac:dyDescent="0.25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 x14ac:dyDescent="0.25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 x14ac:dyDescent="0.25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 x14ac:dyDescent="0.25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 x14ac:dyDescent="0.25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 x14ac:dyDescent="0.25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 x14ac:dyDescent="0.25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 x14ac:dyDescent="0.25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 x14ac:dyDescent="0.25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 x14ac:dyDescent="0.25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 x14ac:dyDescent="0.25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 x14ac:dyDescent="0.25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 x14ac:dyDescent="0.25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 x14ac:dyDescent="0.25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 x14ac:dyDescent="0.25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 x14ac:dyDescent="0.25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 x14ac:dyDescent="0.25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 x14ac:dyDescent="0.25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 x14ac:dyDescent="0.25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 x14ac:dyDescent="0.25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 x14ac:dyDescent="0.25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 x14ac:dyDescent="0.25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 x14ac:dyDescent="0.25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 x14ac:dyDescent="0.25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 x14ac:dyDescent="0.25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 x14ac:dyDescent="0.25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 x14ac:dyDescent="0.25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 x14ac:dyDescent="0.25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 x14ac:dyDescent="0.25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 x14ac:dyDescent="0.25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 x14ac:dyDescent="0.25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 x14ac:dyDescent="0.25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 x14ac:dyDescent="0.25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 x14ac:dyDescent="0.25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 x14ac:dyDescent="0.25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 x14ac:dyDescent="0.25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 x14ac:dyDescent="0.25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 x14ac:dyDescent="0.25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 x14ac:dyDescent="0.25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 x14ac:dyDescent="0.25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 x14ac:dyDescent="0.25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 x14ac:dyDescent="0.25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 x14ac:dyDescent="0.25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 x14ac:dyDescent="0.25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 x14ac:dyDescent="0.25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 x14ac:dyDescent="0.25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 x14ac:dyDescent="0.25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 x14ac:dyDescent="0.25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 x14ac:dyDescent="0.25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 x14ac:dyDescent="0.25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 x14ac:dyDescent="0.25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 x14ac:dyDescent="0.25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 x14ac:dyDescent="0.25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 x14ac:dyDescent="0.25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 x14ac:dyDescent="0.25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 x14ac:dyDescent="0.25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 x14ac:dyDescent="0.25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 x14ac:dyDescent="0.25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 x14ac:dyDescent="0.25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 x14ac:dyDescent="0.25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 x14ac:dyDescent="0.25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 x14ac:dyDescent="0.25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 x14ac:dyDescent="0.25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 x14ac:dyDescent="0.25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 x14ac:dyDescent="0.25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 x14ac:dyDescent="0.25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 x14ac:dyDescent="0.25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 x14ac:dyDescent="0.25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 x14ac:dyDescent="0.25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 x14ac:dyDescent="0.25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 x14ac:dyDescent="0.25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 x14ac:dyDescent="0.25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 x14ac:dyDescent="0.25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 x14ac:dyDescent="0.25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 x14ac:dyDescent="0.25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 x14ac:dyDescent="0.25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 x14ac:dyDescent="0.25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 x14ac:dyDescent="0.25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 x14ac:dyDescent="0.25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 x14ac:dyDescent="0.25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 x14ac:dyDescent="0.25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 x14ac:dyDescent="0.25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 x14ac:dyDescent="0.25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 x14ac:dyDescent="0.25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 x14ac:dyDescent="0.25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 x14ac:dyDescent="0.25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 x14ac:dyDescent="0.25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 x14ac:dyDescent="0.25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 x14ac:dyDescent="0.25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 x14ac:dyDescent="0.25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 x14ac:dyDescent="0.25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 x14ac:dyDescent="0.25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 x14ac:dyDescent="0.25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 x14ac:dyDescent="0.25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 x14ac:dyDescent="0.25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 x14ac:dyDescent="0.25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 x14ac:dyDescent="0.25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 x14ac:dyDescent="0.25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 x14ac:dyDescent="0.25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 x14ac:dyDescent="0.25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 x14ac:dyDescent="0.25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 x14ac:dyDescent="0.25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 x14ac:dyDescent="0.25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 x14ac:dyDescent="0.25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 x14ac:dyDescent="0.25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 x14ac:dyDescent="0.25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 x14ac:dyDescent="0.25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 x14ac:dyDescent="0.25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 x14ac:dyDescent="0.25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 x14ac:dyDescent="0.25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 x14ac:dyDescent="0.25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 x14ac:dyDescent="0.25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 x14ac:dyDescent="0.25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 x14ac:dyDescent="0.25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 x14ac:dyDescent="0.25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 x14ac:dyDescent="0.25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 x14ac:dyDescent="0.25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 x14ac:dyDescent="0.25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 x14ac:dyDescent="0.25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 x14ac:dyDescent="0.25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 x14ac:dyDescent="0.25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 x14ac:dyDescent="0.25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 x14ac:dyDescent="0.25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 x14ac:dyDescent="0.25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 x14ac:dyDescent="0.25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 x14ac:dyDescent="0.25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 x14ac:dyDescent="0.25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 x14ac:dyDescent="0.25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 x14ac:dyDescent="0.25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 x14ac:dyDescent="0.25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 x14ac:dyDescent="0.25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 x14ac:dyDescent="0.25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 x14ac:dyDescent="0.25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 x14ac:dyDescent="0.25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 x14ac:dyDescent="0.25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 x14ac:dyDescent="0.25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 x14ac:dyDescent="0.25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 x14ac:dyDescent="0.25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 x14ac:dyDescent="0.25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 x14ac:dyDescent="0.25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 x14ac:dyDescent="0.25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 x14ac:dyDescent="0.25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 x14ac:dyDescent="0.25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 x14ac:dyDescent="0.25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 x14ac:dyDescent="0.25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 x14ac:dyDescent="0.25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 x14ac:dyDescent="0.25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 x14ac:dyDescent="0.25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 x14ac:dyDescent="0.25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 x14ac:dyDescent="0.25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 x14ac:dyDescent="0.25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 x14ac:dyDescent="0.25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 x14ac:dyDescent="0.25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 x14ac:dyDescent="0.25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 x14ac:dyDescent="0.25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 x14ac:dyDescent="0.25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 x14ac:dyDescent="0.25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 x14ac:dyDescent="0.25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 x14ac:dyDescent="0.25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 x14ac:dyDescent="0.25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 x14ac:dyDescent="0.25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 x14ac:dyDescent="0.25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 x14ac:dyDescent="0.25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 x14ac:dyDescent="0.25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 x14ac:dyDescent="0.25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 x14ac:dyDescent="0.25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 x14ac:dyDescent="0.25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 x14ac:dyDescent="0.25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 x14ac:dyDescent="0.25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 x14ac:dyDescent="0.25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 x14ac:dyDescent="0.25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 x14ac:dyDescent="0.25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 x14ac:dyDescent="0.25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 x14ac:dyDescent="0.25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 x14ac:dyDescent="0.25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 x14ac:dyDescent="0.25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 x14ac:dyDescent="0.25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 x14ac:dyDescent="0.25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 x14ac:dyDescent="0.25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 x14ac:dyDescent="0.25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 x14ac:dyDescent="0.25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 x14ac:dyDescent="0.25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 x14ac:dyDescent="0.25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 x14ac:dyDescent="0.25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 x14ac:dyDescent="0.25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 x14ac:dyDescent="0.25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 x14ac:dyDescent="0.25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 x14ac:dyDescent="0.25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 x14ac:dyDescent="0.25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 x14ac:dyDescent="0.25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 x14ac:dyDescent="0.25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 x14ac:dyDescent="0.25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 x14ac:dyDescent="0.25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 x14ac:dyDescent="0.25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 x14ac:dyDescent="0.25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 x14ac:dyDescent="0.25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 x14ac:dyDescent="0.25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 x14ac:dyDescent="0.25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 x14ac:dyDescent="0.25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 x14ac:dyDescent="0.25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 x14ac:dyDescent="0.25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 x14ac:dyDescent="0.25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 x14ac:dyDescent="0.25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 x14ac:dyDescent="0.25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 x14ac:dyDescent="0.25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 x14ac:dyDescent="0.25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 x14ac:dyDescent="0.25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 x14ac:dyDescent="0.25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 x14ac:dyDescent="0.25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 x14ac:dyDescent="0.25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 x14ac:dyDescent="0.25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 x14ac:dyDescent="0.25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 x14ac:dyDescent="0.25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 x14ac:dyDescent="0.25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 x14ac:dyDescent="0.25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 x14ac:dyDescent="0.25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 x14ac:dyDescent="0.25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 x14ac:dyDescent="0.25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 x14ac:dyDescent="0.25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 x14ac:dyDescent="0.25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 x14ac:dyDescent="0.25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 x14ac:dyDescent="0.25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 x14ac:dyDescent="0.25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 x14ac:dyDescent="0.25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 x14ac:dyDescent="0.25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 x14ac:dyDescent="0.25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 x14ac:dyDescent="0.25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 x14ac:dyDescent="0.25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 x14ac:dyDescent="0.25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 x14ac:dyDescent="0.25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 x14ac:dyDescent="0.25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 x14ac:dyDescent="0.25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 x14ac:dyDescent="0.25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 x14ac:dyDescent="0.25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 x14ac:dyDescent="0.25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 x14ac:dyDescent="0.25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 x14ac:dyDescent="0.25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 x14ac:dyDescent="0.25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 x14ac:dyDescent="0.25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 x14ac:dyDescent="0.25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 x14ac:dyDescent="0.25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 x14ac:dyDescent="0.25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 x14ac:dyDescent="0.25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 x14ac:dyDescent="0.25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 x14ac:dyDescent="0.25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 x14ac:dyDescent="0.25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 x14ac:dyDescent="0.25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 x14ac:dyDescent="0.25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 x14ac:dyDescent="0.25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 x14ac:dyDescent="0.25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 x14ac:dyDescent="0.25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 x14ac:dyDescent="0.25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 x14ac:dyDescent="0.25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 x14ac:dyDescent="0.25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 x14ac:dyDescent="0.25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 x14ac:dyDescent="0.25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 x14ac:dyDescent="0.25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 x14ac:dyDescent="0.25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 x14ac:dyDescent="0.25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 x14ac:dyDescent="0.25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 x14ac:dyDescent="0.25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 x14ac:dyDescent="0.25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 x14ac:dyDescent="0.25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 x14ac:dyDescent="0.25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 x14ac:dyDescent="0.25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 x14ac:dyDescent="0.25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 x14ac:dyDescent="0.25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 x14ac:dyDescent="0.25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 x14ac:dyDescent="0.25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 x14ac:dyDescent="0.25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 x14ac:dyDescent="0.25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 x14ac:dyDescent="0.25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 x14ac:dyDescent="0.25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 x14ac:dyDescent="0.25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 x14ac:dyDescent="0.25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 x14ac:dyDescent="0.25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 x14ac:dyDescent="0.25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 x14ac:dyDescent="0.25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 x14ac:dyDescent="0.25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 x14ac:dyDescent="0.25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 x14ac:dyDescent="0.25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 x14ac:dyDescent="0.25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 x14ac:dyDescent="0.25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 x14ac:dyDescent="0.25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 x14ac:dyDescent="0.25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 x14ac:dyDescent="0.25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 x14ac:dyDescent="0.25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 x14ac:dyDescent="0.25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 x14ac:dyDescent="0.25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 x14ac:dyDescent="0.25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 x14ac:dyDescent="0.25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 x14ac:dyDescent="0.25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 x14ac:dyDescent="0.25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 x14ac:dyDescent="0.25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 x14ac:dyDescent="0.25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 x14ac:dyDescent="0.25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 x14ac:dyDescent="0.25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 x14ac:dyDescent="0.25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 x14ac:dyDescent="0.25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 x14ac:dyDescent="0.25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 x14ac:dyDescent="0.25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 x14ac:dyDescent="0.25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 x14ac:dyDescent="0.25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 x14ac:dyDescent="0.25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 x14ac:dyDescent="0.25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 x14ac:dyDescent="0.25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 x14ac:dyDescent="0.25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 x14ac:dyDescent="0.25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 x14ac:dyDescent="0.25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 x14ac:dyDescent="0.25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 x14ac:dyDescent="0.25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 x14ac:dyDescent="0.25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 x14ac:dyDescent="0.25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 x14ac:dyDescent="0.25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 x14ac:dyDescent="0.25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 x14ac:dyDescent="0.25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 x14ac:dyDescent="0.25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 x14ac:dyDescent="0.25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 x14ac:dyDescent="0.25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 x14ac:dyDescent="0.25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 x14ac:dyDescent="0.25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 x14ac:dyDescent="0.25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 x14ac:dyDescent="0.25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 x14ac:dyDescent="0.25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 x14ac:dyDescent="0.25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 x14ac:dyDescent="0.25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 x14ac:dyDescent="0.25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 x14ac:dyDescent="0.25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 x14ac:dyDescent="0.25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 x14ac:dyDescent="0.25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 x14ac:dyDescent="0.25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 x14ac:dyDescent="0.25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 x14ac:dyDescent="0.25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 x14ac:dyDescent="0.25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 x14ac:dyDescent="0.25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 x14ac:dyDescent="0.25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 x14ac:dyDescent="0.25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 x14ac:dyDescent="0.25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 x14ac:dyDescent="0.25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 x14ac:dyDescent="0.25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 x14ac:dyDescent="0.25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 x14ac:dyDescent="0.25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 x14ac:dyDescent="0.25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 x14ac:dyDescent="0.25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 x14ac:dyDescent="0.25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 x14ac:dyDescent="0.25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 x14ac:dyDescent="0.25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 x14ac:dyDescent="0.25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 x14ac:dyDescent="0.25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 x14ac:dyDescent="0.25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 x14ac:dyDescent="0.25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 x14ac:dyDescent="0.25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 x14ac:dyDescent="0.25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 x14ac:dyDescent="0.25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 x14ac:dyDescent="0.25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 x14ac:dyDescent="0.25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 x14ac:dyDescent="0.25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 x14ac:dyDescent="0.25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 x14ac:dyDescent="0.25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 x14ac:dyDescent="0.25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 x14ac:dyDescent="0.25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 x14ac:dyDescent="0.25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 x14ac:dyDescent="0.25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 x14ac:dyDescent="0.25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 x14ac:dyDescent="0.25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 x14ac:dyDescent="0.25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 x14ac:dyDescent="0.25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 x14ac:dyDescent="0.25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 x14ac:dyDescent="0.25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 x14ac:dyDescent="0.25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 x14ac:dyDescent="0.25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 x14ac:dyDescent="0.25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 x14ac:dyDescent="0.25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 x14ac:dyDescent="0.25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 x14ac:dyDescent="0.25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 x14ac:dyDescent="0.25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 x14ac:dyDescent="0.25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 x14ac:dyDescent="0.25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 x14ac:dyDescent="0.25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 x14ac:dyDescent="0.25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 x14ac:dyDescent="0.25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 x14ac:dyDescent="0.25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 x14ac:dyDescent="0.25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 x14ac:dyDescent="0.25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 x14ac:dyDescent="0.25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 x14ac:dyDescent="0.25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 x14ac:dyDescent="0.25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 x14ac:dyDescent="0.25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 x14ac:dyDescent="0.25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 x14ac:dyDescent="0.25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 x14ac:dyDescent="0.25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 x14ac:dyDescent="0.25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 x14ac:dyDescent="0.25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 x14ac:dyDescent="0.25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 x14ac:dyDescent="0.25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 x14ac:dyDescent="0.25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 x14ac:dyDescent="0.25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 x14ac:dyDescent="0.25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 x14ac:dyDescent="0.25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 x14ac:dyDescent="0.25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 x14ac:dyDescent="0.25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 x14ac:dyDescent="0.25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 x14ac:dyDescent="0.25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 x14ac:dyDescent="0.25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 x14ac:dyDescent="0.25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 x14ac:dyDescent="0.25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 x14ac:dyDescent="0.25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 x14ac:dyDescent="0.25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 x14ac:dyDescent="0.25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 x14ac:dyDescent="0.25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 x14ac:dyDescent="0.25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 x14ac:dyDescent="0.25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 x14ac:dyDescent="0.25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 x14ac:dyDescent="0.25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 x14ac:dyDescent="0.25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 x14ac:dyDescent="0.25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 x14ac:dyDescent="0.25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 x14ac:dyDescent="0.25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 x14ac:dyDescent="0.25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 x14ac:dyDescent="0.25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 x14ac:dyDescent="0.25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 x14ac:dyDescent="0.25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 x14ac:dyDescent="0.25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 x14ac:dyDescent="0.25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 x14ac:dyDescent="0.25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 x14ac:dyDescent="0.25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 x14ac:dyDescent="0.25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 x14ac:dyDescent="0.25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 x14ac:dyDescent="0.25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 x14ac:dyDescent="0.25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 x14ac:dyDescent="0.25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 x14ac:dyDescent="0.25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 x14ac:dyDescent="0.25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 x14ac:dyDescent="0.25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 x14ac:dyDescent="0.25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 x14ac:dyDescent="0.25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 x14ac:dyDescent="0.25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 x14ac:dyDescent="0.25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 x14ac:dyDescent="0.25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 x14ac:dyDescent="0.25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 x14ac:dyDescent="0.25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 x14ac:dyDescent="0.25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 x14ac:dyDescent="0.25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 x14ac:dyDescent="0.25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 x14ac:dyDescent="0.25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 x14ac:dyDescent="0.25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 x14ac:dyDescent="0.25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 x14ac:dyDescent="0.25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 x14ac:dyDescent="0.25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 x14ac:dyDescent="0.25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 x14ac:dyDescent="0.25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 x14ac:dyDescent="0.25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 x14ac:dyDescent="0.25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 x14ac:dyDescent="0.25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 x14ac:dyDescent="0.25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 x14ac:dyDescent="0.25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 x14ac:dyDescent="0.25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 x14ac:dyDescent="0.25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 x14ac:dyDescent="0.25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 x14ac:dyDescent="0.25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 x14ac:dyDescent="0.25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 x14ac:dyDescent="0.25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 x14ac:dyDescent="0.25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 x14ac:dyDescent="0.25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 x14ac:dyDescent="0.25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 x14ac:dyDescent="0.25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 x14ac:dyDescent="0.25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 x14ac:dyDescent="0.25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 x14ac:dyDescent="0.25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 x14ac:dyDescent="0.25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 x14ac:dyDescent="0.25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 x14ac:dyDescent="0.25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 x14ac:dyDescent="0.25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 x14ac:dyDescent="0.25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 x14ac:dyDescent="0.25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 x14ac:dyDescent="0.25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 x14ac:dyDescent="0.25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 x14ac:dyDescent="0.25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 x14ac:dyDescent="0.25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 x14ac:dyDescent="0.25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 x14ac:dyDescent="0.25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 x14ac:dyDescent="0.25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 x14ac:dyDescent="0.25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 x14ac:dyDescent="0.25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 x14ac:dyDescent="0.25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 x14ac:dyDescent="0.25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 x14ac:dyDescent="0.25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 x14ac:dyDescent="0.25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 x14ac:dyDescent="0.25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 x14ac:dyDescent="0.25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 x14ac:dyDescent="0.25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 x14ac:dyDescent="0.25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 x14ac:dyDescent="0.25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 x14ac:dyDescent="0.25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 x14ac:dyDescent="0.25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 x14ac:dyDescent="0.25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 x14ac:dyDescent="0.25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 x14ac:dyDescent="0.25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 x14ac:dyDescent="0.25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 x14ac:dyDescent="0.25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 x14ac:dyDescent="0.25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 x14ac:dyDescent="0.25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 x14ac:dyDescent="0.25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 x14ac:dyDescent="0.25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 x14ac:dyDescent="0.25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 x14ac:dyDescent="0.25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 x14ac:dyDescent="0.25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 x14ac:dyDescent="0.25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 x14ac:dyDescent="0.25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 x14ac:dyDescent="0.25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 x14ac:dyDescent="0.25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 x14ac:dyDescent="0.25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 x14ac:dyDescent="0.25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 x14ac:dyDescent="0.25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 x14ac:dyDescent="0.25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 x14ac:dyDescent="0.25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 x14ac:dyDescent="0.25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 x14ac:dyDescent="0.25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 x14ac:dyDescent="0.25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 x14ac:dyDescent="0.25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 x14ac:dyDescent="0.25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 x14ac:dyDescent="0.25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 x14ac:dyDescent="0.25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 x14ac:dyDescent="0.25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 x14ac:dyDescent="0.25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 x14ac:dyDescent="0.25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 x14ac:dyDescent="0.25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 x14ac:dyDescent="0.25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 x14ac:dyDescent="0.25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 x14ac:dyDescent="0.25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 x14ac:dyDescent="0.25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 x14ac:dyDescent="0.25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 x14ac:dyDescent="0.25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 x14ac:dyDescent="0.25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 x14ac:dyDescent="0.25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 x14ac:dyDescent="0.25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 x14ac:dyDescent="0.25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 x14ac:dyDescent="0.25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 x14ac:dyDescent="0.25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 x14ac:dyDescent="0.25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 x14ac:dyDescent="0.25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 x14ac:dyDescent="0.25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 x14ac:dyDescent="0.25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 x14ac:dyDescent="0.25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 x14ac:dyDescent="0.25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 x14ac:dyDescent="0.25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 x14ac:dyDescent="0.25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 x14ac:dyDescent="0.25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 x14ac:dyDescent="0.25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 x14ac:dyDescent="0.25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 x14ac:dyDescent="0.25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 x14ac:dyDescent="0.25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 x14ac:dyDescent="0.25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 x14ac:dyDescent="0.25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 x14ac:dyDescent="0.25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 x14ac:dyDescent="0.25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 x14ac:dyDescent="0.25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 x14ac:dyDescent="0.25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 x14ac:dyDescent="0.25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 x14ac:dyDescent="0.25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 x14ac:dyDescent="0.25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 x14ac:dyDescent="0.25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 x14ac:dyDescent="0.25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 x14ac:dyDescent="0.25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 x14ac:dyDescent="0.25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 x14ac:dyDescent="0.25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 x14ac:dyDescent="0.25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 x14ac:dyDescent="0.25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 x14ac:dyDescent="0.25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 x14ac:dyDescent="0.25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 x14ac:dyDescent="0.25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 x14ac:dyDescent="0.25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 x14ac:dyDescent="0.25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 x14ac:dyDescent="0.25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 x14ac:dyDescent="0.25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 x14ac:dyDescent="0.25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 x14ac:dyDescent="0.25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 x14ac:dyDescent="0.25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 x14ac:dyDescent="0.25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 x14ac:dyDescent="0.25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 x14ac:dyDescent="0.25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 x14ac:dyDescent="0.25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 x14ac:dyDescent="0.25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 x14ac:dyDescent="0.25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 x14ac:dyDescent="0.25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 x14ac:dyDescent="0.25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 x14ac:dyDescent="0.25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 x14ac:dyDescent="0.25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 x14ac:dyDescent="0.25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 x14ac:dyDescent="0.25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 x14ac:dyDescent="0.25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 x14ac:dyDescent="0.25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 x14ac:dyDescent="0.25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 x14ac:dyDescent="0.25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 x14ac:dyDescent="0.25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 x14ac:dyDescent="0.25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 x14ac:dyDescent="0.25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 x14ac:dyDescent="0.25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 x14ac:dyDescent="0.25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 x14ac:dyDescent="0.25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 x14ac:dyDescent="0.25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 x14ac:dyDescent="0.25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 x14ac:dyDescent="0.25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 x14ac:dyDescent="0.25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 x14ac:dyDescent="0.25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 x14ac:dyDescent="0.25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 x14ac:dyDescent="0.25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 x14ac:dyDescent="0.25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 x14ac:dyDescent="0.25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 x14ac:dyDescent="0.25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 x14ac:dyDescent="0.25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 x14ac:dyDescent="0.25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 x14ac:dyDescent="0.25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 x14ac:dyDescent="0.25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 x14ac:dyDescent="0.25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 x14ac:dyDescent="0.25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 x14ac:dyDescent="0.25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 x14ac:dyDescent="0.25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 x14ac:dyDescent="0.25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 x14ac:dyDescent="0.25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 x14ac:dyDescent="0.25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 x14ac:dyDescent="0.25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 x14ac:dyDescent="0.25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 x14ac:dyDescent="0.25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 x14ac:dyDescent="0.25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 x14ac:dyDescent="0.25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 x14ac:dyDescent="0.25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 x14ac:dyDescent="0.25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 x14ac:dyDescent="0.25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 x14ac:dyDescent="0.25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 x14ac:dyDescent="0.25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 x14ac:dyDescent="0.25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 x14ac:dyDescent="0.25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 x14ac:dyDescent="0.25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 x14ac:dyDescent="0.25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 x14ac:dyDescent="0.25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 x14ac:dyDescent="0.25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 x14ac:dyDescent="0.25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 x14ac:dyDescent="0.25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 x14ac:dyDescent="0.25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 x14ac:dyDescent="0.25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 x14ac:dyDescent="0.25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 x14ac:dyDescent="0.25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 x14ac:dyDescent="0.25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 x14ac:dyDescent="0.25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 x14ac:dyDescent="0.25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 x14ac:dyDescent="0.25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 x14ac:dyDescent="0.25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 x14ac:dyDescent="0.25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 x14ac:dyDescent="0.25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 x14ac:dyDescent="0.25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 x14ac:dyDescent="0.25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 x14ac:dyDescent="0.25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 x14ac:dyDescent="0.25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 x14ac:dyDescent="0.25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 x14ac:dyDescent="0.25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 x14ac:dyDescent="0.25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 x14ac:dyDescent="0.25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 x14ac:dyDescent="0.25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 x14ac:dyDescent="0.25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 x14ac:dyDescent="0.25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 x14ac:dyDescent="0.25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 x14ac:dyDescent="0.25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 x14ac:dyDescent="0.25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 x14ac:dyDescent="0.25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 x14ac:dyDescent="0.25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 x14ac:dyDescent="0.25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 x14ac:dyDescent="0.25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 x14ac:dyDescent="0.25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 x14ac:dyDescent="0.25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 x14ac:dyDescent="0.25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 x14ac:dyDescent="0.25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 x14ac:dyDescent="0.25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 x14ac:dyDescent="0.25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 x14ac:dyDescent="0.25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 x14ac:dyDescent="0.25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 x14ac:dyDescent="0.25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 x14ac:dyDescent="0.25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 x14ac:dyDescent="0.25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 x14ac:dyDescent="0.25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 x14ac:dyDescent="0.25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 x14ac:dyDescent="0.25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 x14ac:dyDescent="0.25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 x14ac:dyDescent="0.25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 x14ac:dyDescent="0.25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 x14ac:dyDescent="0.25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 x14ac:dyDescent="0.25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 x14ac:dyDescent="0.25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 x14ac:dyDescent="0.25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 x14ac:dyDescent="0.25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 x14ac:dyDescent="0.25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 x14ac:dyDescent="0.25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 x14ac:dyDescent="0.25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 x14ac:dyDescent="0.25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 x14ac:dyDescent="0.25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 x14ac:dyDescent="0.25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 x14ac:dyDescent="0.25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 x14ac:dyDescent="0.25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 x14ac:dyDescent="0.25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 x14ac:dyDescent="0.25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 x14ac:dyDescent="0.25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 x14ac:dyDescent="0.25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 x14ac:dyDescent="0.25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 x14ac:dyDescent="0.25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 x14ac:dyDescent="0.25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 x14ac:dyDescent="0.25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 x14ac:dyDescent="0.25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 x14ac:dyDescent="0.25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 x14ac:dyDescent="0.25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 x14ac:dyDescent="0.25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 x14ac:dyDescent="0.25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 x14ac:dyDescent="0.25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 x14ac:dyDescent="0.25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 x14ac:dyDescent="0.25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 x14ac:dyDescent="0.25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 x14ac:dyDescent="0.25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 x14ac:dyDescent="0.25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 x14ac:dyDescent="0.25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 x14ac:dyDescent="0.25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 x14ac:dyDescent="0.25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 x14ac:dyDescent="0.25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 x14ac:dyDescent="0.25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 x14ac:dyDescent="0.25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 x14ac:dyDescent="0.25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 x14ac:dyDescent="0.25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 x14ac:dyDescent="0.25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 x14ac:dyDescent="0.25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 x14ac:dyDescent="0.25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 x14ac:dyDescent="0.25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 x14ac:dyDescent="0.25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 x14ac:dyDescent="0.25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 x14ac:dyDescent="0.25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 x14ac:dyDescent="0.25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 x14ac:dyDescent="0.25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 x14ac:dyDescent="0.25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 x14ac:dyDescent="0.25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 x14ac:dyDescent="0.25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 x14ac:dyDescent="0.25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 x14ac:dyDescent="0.25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 x14ac:dyDescent="0.25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 x14ac:dyDescent="0.25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 x14ac:dyDescent="0.25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 x14ac:dyDescent="0.25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 x14ac:dyDescent="0.25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 x14ac:dyDescent="0.25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 x14ac:dyDescent="0.25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 x14ac:dyDescent="0.25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 x14ac:dyDescent="0.25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 x14ac:dyDescent="0.25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 x14ac:dyDescent="0.25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 x14ac:dyDescent="0.25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 x14ac:dyDescent="0.25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 x14ac:dyDescent="0.25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 x14ac:dyDescent="0.25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 x14ac:dyDescent="0.25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 x14ac:dyDescent="0.25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 x14ac:dyDescent="0.25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 x14ac:dyDescent="0.25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 x14ac:dyDescent="0.25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 x14ac:dyDescent="0.25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 x14ac:dyDescent="0.25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 x14ac:dyDescent="0.25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 x14ac:dyDescent="0.25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 x14ac:dyDescent="0.25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 x14ac:dyDescent="0.25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 x14ac:dyDescent="0.25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 x14ac:dyDescent="0.25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 x14ac:dyDescent="0.25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 x14ac:dyDescent="0.25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 x14ac:dyDescent="0.25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 x14ac:dyDescent="0.25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 x14ac:dyDescent="0.25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 x14ac:dyDescent="0.25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 x14ac:dyDescent="0.25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 x14ac:dyDescent="0.25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 x14ac:dyDescent="0.25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 x14ac:dyDescent="0.25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 x14ac:dyDescent="0.25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 x14ac:dyDescent="0.25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 x14ac:dyDescent="0.25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 x14ac:dyDescent="0.25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 x14ac:dyDescent="0.25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 x14ac:dyDescent="0.25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 x14ac:dyDescent="0.25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 x14ac:dyDescent="0.25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 x14ac:dyDescent="0.25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 x14ac:dyDescent="0.25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 x14ac:dyDescent="0.25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 x14ac:dyDescent="0.25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 x14ac:dyDescent="0.25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 x14ac:dyDescent="0.25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 x14ac:dyDescent="0.25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 x14ac:dyDescent="0.25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 x14ac:dyDescent="0.25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 x14ac:dyDescent="0.25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 x14ac:dyDescent="0.25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 x14ac:dyDescent="0.25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 x14ac:dyDescent="0.25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 x14ac:dyDescent="0.25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 x14ac:dyDescent="0.25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 x14ac:dyDescent="0.25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 x14ac:dyDescent="0.25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 x14ac:dyDescent="0.25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 x14ac:dyDescent="0.25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 x14ac:dyDescent="0.25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 x14ac:dyDescent="0.25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 x14ac:dyDescent="0.25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 x14ac:dyDescent="0.25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 x14ac:dyDescent="0.25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 x14ac:dyDescent="0.25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 x14ac:dyDescent="0.25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 x14ac:dyDescent="0.25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 x14ac:dyDescent="0.25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 x14ac:dyDescent="0.25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 x14ac:dyDescent="0.25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 x14ac:dyDescent="0.25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 x14ac:dyDescent="0.25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 x14ac:dyDescent="0.25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 x14ac:dyDescent="0.25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 x14ac:dyDescent="0.25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 x14ac:dyDescent="0.25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 x14ac:dyDescent="0.25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 x14ac:dyDescent="0.25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 x14ac:dyDescent="0.25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 x14ac:dyDescent="0.25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 x14ac:dyDescent="0.25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 x14ac:dyDescent="0.25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 x14ac:dyDescent="0.25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 x14ac:dyDescent="0.25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 x14ac:dyDescent="0.25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 x14ac:dyDescent="0.25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 x14ac:dyDescent="0.25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 x14ac:dyDescent="0.25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 x14ac:dyDescent="0.25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 x14ac:dyDescent="0.25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 x14ac:dyDescent="0.25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 x14ac:dyDescent="0.25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 x14ac:dyDescent="0.25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 x14ac:dyDescent="0.25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 x14ac:dyDescent="0.25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 x14ac:dyDescent="0.25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 x14ac:dyDescent="0.25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 x14ac:dyDescent="0.25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 x14ac:dyDescent="0.25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 x14ac:dyDescent="0.25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 x14ac:dyDescent="0.25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 x14ac:dyDescent="0.25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 x14ac:dyDescent="0.25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 x14ac:dyDescent="0.25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 x14ac:dyDescent="0.25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 x14ac:dyDescent="0.25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 x14ac:dyDescent="0.25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 x14ac:dyDescent="0.25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 x14ac:dyDescent="0.25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 x14ac:dyDescent="0.25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 x14ac:dyDescent="0.25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 x14ac:dyDescent="0.25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 x14ac:dyDescent="0.25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 x14ac:dyDescent="0.25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 x14ac:dyDescent="0.25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 x14ac:dyDescent="0.25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 x14ac:dyDescent="0.25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 x14ac:dyDescent="0.25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 x14ac:dyDescent="0.25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 x14ac:dyDescent="0.25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 x14ac:dyDescent="0.25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 x14ac:dyDescent="0.25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 x14ac:dyDescent="0.25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 x14ac:dyDescent="0.25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 x14ac:dyDescent="0.25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 x14ac:dyDescent="0.25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 x14ac:dyDescent="0.25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 x14ac:dyDescent="0.25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 x14ac:dyDescent="0.25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 x14ac:dyDescent="0.25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 x14ac:dyDescent="0.25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 x14ac:dyDescent="0.25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 x14ac:dyDescent="0.25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 x14ac:dyDescent="0.25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 x14ac:dyDescent="0.25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 x14ac:dyDescent="0.25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 x14ac:dyDescent="0.25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 x14ac:dyDescent="0.25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 x14ac:dyDescent="0.25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 x14ac:dyDescent="0.25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 x14ac:dyDescent="0.25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 x14ac:dyDescent="0.25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 x14ac:dyDescent="0.25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 x14ac:dyDescent="0.25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 x14ac:dyDescent="0.25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 x14ac:dyDescent="0.25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 x14ac:dyDescent="0.25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 x14ac:dyDescent="0.25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 x14ac:dyDescent="0.25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 x14ac:dyDescent="0.25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 x14ac:dyDescent="0.25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 x14ac:dyDescent="0.25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 x14ac:dyDescent="0.25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 x14ac:dyDescent="0.25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 x14ac:dyDescent="0.25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 x14ac:dyDescent="0.25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 x14ac:dyDescent="0.25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 x14ac:dyDescent="0.25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 x14ac:dyDescent="0.25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 x14ac:dyDescent="0.25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 x14ac:dyDescent="0.25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 x14ac:dyDescent="0.25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 x14ac:dyDescent="0.25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 x14ac:dyDescent="0.25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 x14ac:dyDescent="0.25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 x14ac:dyDescent="0.25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 x14ac:dyDescent="0.25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 x14ac:dyDescent="0.25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 x14ac:dyDescent="0.25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 x14ac:dyDescent="0.25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 x14ac:dyDescent="0.25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 x14ac:dyDescent="0.25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 x14ac:dyDescent="0.25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 x14ac:dyDescent="0.25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 x14ac:dyDescent="0.25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 x14ac:dyDescent="0.25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 x14ac:dyDescent="0.25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 x14ac:dyDescent="0.25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 x14ac:dyDescent="0.25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 x14ac:dyDescent="0.25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 x14ac:dyDescent="0.25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 x14ac:dyDescent="0.25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 x14ac:dyDescent="0.25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 x14ac:dyDescent="0.25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 x14ac:dyDescent="0.25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 x14ac:dyDescent="0.25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 x14ac:dyDescent="0.25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 x14ac:dyDescent="0.25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 x14ac:dyDescent="0.25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 x14ac:dyDescent="0.25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 x14ac:dyDescent="0.25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 x14ac:dyDescent="0.25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 x14ac:dyDescent="0.25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 x14ac:dyDescent="0.25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 x14ac:dyDescent="0.25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 x14ac:dyDescent="0.25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 x14ac:dyDescent="0.25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 x14ac:dyDescent="0.25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 x14ac:dyDescent="0.25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 x14ac:dyDescent="0.25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 x14ac:dyDescent="0.25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 x14ac:dyDescent="0.25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 x14ac:dyDescent="0.25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 x14ac:dyDescent="0.25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 x14ac:dyDescent="0.25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 x14ac:dyDescent="0.25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 x14ac:dyDescent="0.25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 x14ac:dyDescent="0.25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 x14ac:dyDescent="0.25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 x14ac:dyDescent="0.25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 x14ac:dyDescent="0.25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 x14ac:dyDescent="0.25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 x14ac:dyDescent="0.25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 x14ac:dyDescent="0.25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 x14ac:dyDescent="0.25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 x14ac:dyDescent="0.25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 x14ac:dyDescent="0.25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 x14ac:dyDescent="0.25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 x14ac:dyDescent="0.25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 x14ac:dyDescent="0.25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 x14ac:dyDescent="0.25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 x14ac:dyDescent="0.25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 x14ac:dyDescent="0.25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 x14ac:dyDescent="0.25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 x14ac:dyDescent="0.25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 x14ac:dyDescent="0.25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 x14ac:dyDescent="0.25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 x14ac:dyDescent="0.25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 x14ac:dyDescent="0.25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 x14ac:dyDescent="0.25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 x14ac:dyDescent="0.25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 x14ac:dyDescent="0.25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 x14ac:dyDescent="0.25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 x14ac:dyDescent="0.25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 x14ac:dyDescent="0.25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 x14ac:dyDescent="0.25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 x14ac:dyDescent="0.25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 x14ac:dyDescent="0.25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 x14ac:dyDescent="0.25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 x14ac:dyDescent="0.25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 x14ac:dyDescent="0.25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 x14ac:dyDescent="0.25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 x14ac:dyDescent="0.25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 x14ac:dyDescent="0.25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 x14ac:dyDescent="0.25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 x14ac:dyDescent="0.25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 x14ac:dyDescent="0.25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 x14ac:dyDescent="0.25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 x14ac:dyDescent="0.25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 x14ac:dyDescent="0.25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 x14ac:dyDescent="0.25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 x14ac:dyDescent="0.25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 x14ac:dyDescent="0.25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 x14ac:dyDescent="0.25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 x14ac:dyDescent="0.25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 x14ac:dyDescent="0.25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 x14ac:dyDescent="0.25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 x14ac:dyDescent="0.25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 x14ac:dyDescent="0.25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 x14ac:dyDescent="0.25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 x14ac:dyDescent="0.25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 x14ac:dyDescent="0.25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 x14ac:dyDescent="0.25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 x14ac:dyDescent="0.25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 x14ac:dyDescent="0.25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 x14ac:dyDescent="0.25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 x14ac:dyDescent="0.25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 x14ac:dyDescent="0.25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 x14ac:dyDescent="0.25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 x14ac:dyDescent="0.25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 x14ac:dyDescent="0.25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 x14ac:dyDescent="0.25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 x14ac:dyDescent="0.25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 x14ac:dyDescent="0.25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 x14ac:dyDescent="0.25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 x14ac:dyDescent="0.25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 x14ac:dyDescent="0.25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 x14ac:dyDescent="0.25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 x14ac:dyDescent="0.25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 x14ac:dyDescent="0.25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 x14ac:dyDescent="0.25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 x14ac:dyDescent="0.25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 x14ac:dyDescent="0.25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 x14ac:dyDescent="0.25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 x14ac:dyDescent="0.25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 x14ac:dyDescent="0.25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 x14ac:dyDescent="0.25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 x14ac:dyDescent="0.25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 x14ac:dyDescent="0.25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 x14ac:dyDescent="0.25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 x14ac:dyDescent="0.25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 x14ac:dyDescent="0.25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 x14ac:dyDescent="0.25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 x14ac:dyDescent="0.25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 x14ac:dyDescent="0.25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 x14ac:dyDescent="0.25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 x14ac:dyDescent="0.25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 x14ac:dyDescent="0.25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 x14ac:dyDescent="0.25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 x14ac:dyDescent="0.25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 x14ac:dyDescent="0.25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 x14ac:dyDescent="0.25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 x14ac:dyDescent="0.25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 x14ac:dyDescent="0.25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 x14ac:dyDescent="0.25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 x14ac:dyDescent="0.25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 x14ac:dyDescent="0.25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 x14ac:dyDescent="0.25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 x14ac:dyDescent="0.25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 x14ac:dyDescent="0.25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 x14ac:dyDescent="0.25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 x14ac:dyDescent="0.25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 x14ac:dyDescent="0.25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 x14ac:dyDescent="0.25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 x14ac:dyDescent="0.25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 x14ac:dyDescent="0.25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 x14ac:dyDescent="0.25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 x14ac:dyDescent="0.25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 x14ac:dyDescent="0.25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 x14ac:dyDescent="0.25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 x14ac:dyDescent="0.25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 x14ac:dyDescent="0.25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 x14ac:dyDescent="0.25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 x14ac:dyDescent="0.25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 x14ac:dyDescent="0.25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 x14ac:dyDescent="0.25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 x14ac:dyDescent="0.25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 x14ac:dyDescent="0.25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 x14ac:dyDescent="0.25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 x14ac:dyDescent="0.25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 x14ac:dyDescent="0.25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 x14ac:dyDescent="0.25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 x14ac:dyDescent="0.25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 x14ac:dyDescent="0.25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 x14ac:dyDescent="0.25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 x14ac:dyDescent="0.25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 x14ac:dyDescent="0.25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 x14ac:dyDescent="0.25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 x14ac:dyDescent="0.25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 x14ac:dyDescent="0.25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 x14ac:dyDescent="0.25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 x14ac:dyDescent="0.25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 x14ac:dyDescent="0.25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 x14ac:dyDescent="0.25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 x14ac:dyDescent="0.25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 x14ac:dyDescent="0.25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 x14ac:dyDescent="0.25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 x14ac:dyDescent="0.25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 x14ac:dyDescent="0.25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 x14ac:dyDescent="0.25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 x14ac:dyDescent="0.25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 x14ac:dyDescent="0.25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 x14ac:dyDescent="0.25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 x14ac:dyDescent="0.25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 x14ac:dyDescent="0.25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 x14ac:dyDescent="0.25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 x14ac:dyDescent="0.25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 x14ac:dyDescent="0.25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 x14ac:dyDescent="0.25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 x14ac:dyDescent="0.25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 x14ac:dyDescent="0.25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 x14ac:dyDescent="0.25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 x14ac:dyDescent="0.25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 x14ac:dyDescent="0.25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 x14ac:dyDescent="0.25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 x14ac:dyDescent="0.25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 x14ac:dyDescent="0.25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 x14ac:dyDescent="0.25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 x14ac:dyDescent="0.25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 x14ac:dyDescent="0.25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 x14ac:dyDescent="0.25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 x14ac:dyDescent="0.25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 x14ac:dyDescent="0.25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 x14ac:dyDescent="0.25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 x14ac:dyDescent="0.25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 x14ac:dyDescent="0.25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 x14ac:dyDescent="0.25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 x14ac:dyDescent="0.25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 x14ac:dyDescent="0.25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 x14ac:dyDescent="0.25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 x14ac:dyDescent="0.25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 x14ac:dyDescent="0.25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 x14ac:dyDescent="0.25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 x14ac:dyDescent="0.25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 x14ac:dyDescent="0.25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 x14ac:dyDescent="0.25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 x14ac:dyDescent="0.25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 x14ac:dyDescent="0.25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 x14ac:dyDescent="0.25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 x14ac:dyDescent="0.25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 x14ac:dyDescent="0.25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 x14ac:dyDescent="0.25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 x14ac:dyDescent="0.25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 x14ac:dyDescent="0.25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 x14ac:dyDescent="0.25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 x14ac:dyDescent="0.25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397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  <row r="3911" spans="2:20" ht="15" customHeight="1" x14ac:dyDescent="0.25">
      <c r="B3911" s="1398" t="s">
        <v>4612</v>
      </c>
      <c r="C3911" s="859" t="s">
        <v>3512</v>
      </c>
      <c r="D3911" s="1399">
        <v>46262.391203703701</v>
      </c>
      <c r="E3911" s="1400">
        <v>0.44</v>
      </c>
      <c r="F3911" s="583">
        <v>4.4999999999999998E-2</v>
      </c>
      <c r="G3911" s="1401">
        <f t="shared" ref="G3911:G3926" si="153">IF(E3911&gt;0,E3911/(1-F3911),E3911)</f>
        <v>0.46073298429319376</v>
      </c>
      <c r="H3911" s="1366" t="s">
        <v>1646</v>
      </c>
      <c r="I3911" s="1402" t="s">
        <v>3293</v>
      </c>
      <c r="J3911" s="1401">
        <v>1.23</v>
      </c>
      <c r="K3911" s="1401">
        <v>2</v>
      </c>
      <c r="L3911" s="1399">
        <f>INT(base[[#This Row],[Data de liquidação]])</f>
        <v>46262</v>
      </c>
      <c r="M3911" s="1401">
        <f>base[[#This Row],[L/P Bruto]]-base[[#This Row],[L/P Líquido]]</f>
        <v>2.0732984293193757E-2</v>
      </c>
      <c r="N3911" s="1401">
        <f>base[[#This Row],[L/P Líquido]]/base[[#This Row],[Stake/Responsabilidade]]</f>
        <v>0.22</v>
      </c>
      <c r="O3911" s="1403">
        <f>IF(base[[#This Row],[L/P Líquido]]&gt;0,1,0)</f>
        <v>1</v>
      </c>
      <c r="P3911" s="1403"/>
      <c r="Q3911" s="1403" t="str">
        <f>LEFT(base[[#This Row],[Evento / Mercado]],FIND("vs",base[[#This Row],[Evento / Mercado]])-2)</f>
        <v>Shanghai Shenhua</v>
      </c>
      <c r="R391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403" t="str">
        <f>LEFT(base[[#This Row],[Evento / Mercado]],FIND("/",base[[#This Row],[Evento / Mercado]])-2)</f>
        <v>Shanghai Shenhua vs Shandong Taishan</v>
      </c>
      <c r="T3911" s="1404">
        <f>base[[#This Row],[Data de liquidação]]</f>
        <v>46262.391203703701</v>
      </c>
    </row>
    <row r="3912" spans="2:20" ht="15" customHeight="1" x14ac:dyDescent="0.25">
      <c r="B3912" s="1398" t="s">
        <v>4611</v>
      </c>
      <c r="C3912" s="859" t="s">
        <v>3512</v>
      </c>
      <c r="D3912" s="1399">
        <v>46262.440474537034</v>
      </c>
      <c r="E3912" s="1400">
        <v>25.07</v>
      </c>
      <c r="F3912" s="583">
        <v>4.4999999999999998E-2</v>
      </c>
      <c r="G3912" s="1401">
        <f t="shared" si="153"/>
        <v>26.251308900523561</v>
      </c>
      <c r="H3912" s="1401" t="s">
        <v>74</v>
      </c>
      <c r="I3912" s="1402" t="s">
        <v>693</v>
      </c>
      <c r="J3912" s="1401">
        <v>17</v>
      </c>
      <c r="K3912" s="1401">
        <v>420</v>
      </c>
      <c r="L3912" s="1399">
        <f>INT(base[[#This Row],[Data de liquidação]])</f>
        <v>46262</v>
      </c>
      <c r="M3912" s="1401">
        <f>base[[#This Row],[L/P Bruto]]-base[[#This Row],[L/P Líquido]]</f>
        <v>1.1813089005235611</v>
      </c>
      <c r="N3912" s="1401">
        <f>base[[#This Row],[L/P Líquido]]/base[[#This Row],[Stake/Responsabilidade]]</f>
        <v>5.969047619047619E-2</v>
      </c>
      <c r="O3912" s="1403">
        <f>IF(base[[#This Row],[L/P Líquido]]&gt;0,1,0)</f>
        <v>1</v>
      </c>
      <c r="P3912" s="1412" t="s">
        <v>4466</v>
      </c>
      <c r="Q3912" s="1403" t="str">
        <f>LEFT(base[[#This Row],[Evento / Mercado]],FIND("vs",base[[#This Row],[Evento / Mercado]])-2)</f>
        <v>Dalian Yingbo</v>
      </c>
      <c r="R391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403" t="str">
        <f>LEFT(base[[#This Row],[Evento / Mercado]],FIND("/",base[[#This Row],[Evento / Mercado]])-2)</f>
        <v>Dalian Yingbo vs Beijing Guoan</v>
      </c>
      <c r="T3912" s="1404">
        <f>base[[#This Row],[Data de liquidação]]</f>
        <v>46262.440474537034</v>
      </c>
    </row>
    <row r="3913" spans="2:20" ht="15" customHeight="1" x14ac:dyDescent="0.25">
      <c r="B3913" s="1398" t="s">
        <v>4610</v>
      </c>
      <c r="C3913" s="859" t="s">
        <v>3512</v>
      </c>
      <c r="D3913" s="1399">
        <v>46262.441400462965</v>
      </c>
      <c r="E3913" s="1400">
        <v>9.73</v>
      </c>
      <c r="F3913" s="583">
        <v>4.4999999999999998E-2</v>
      </c>
      <c r="G3913" s="1401">
        <f t="shared" si="153"/>
        <v>10.188481675392671</v>
      </c>
      <c r="H3913" s="1401" t="s">
        <v>3294</v>
      </c>
      <c r="I3913" s="1402" t="s">
        <v>626</v>
      </c>
      <c r="J3913" s="1401">
        <v>44</v>
      </c>
      <c r="K3913" s="1401">
        <v>438.17</v>
      </c>
      <c r="L3913" s="1399">
        <f>INT(base[[#This Row],[Data de liquidação]])</f>
        <v>46262</v>
      </c>
      <c r="M3913" s="1401">
        <f>base[[#This Row],[L/P Bruto]]-base[[#This Row],[L/P Líquido]]</f>
        <v>0.4584816753926706</v>
      </c>
      <c r="N3913" s="1401">
        <f>base[[#This Row],[L/P Líquido]]/base[[#This Row],[Stake/Responsabilidade]]</f>
        <v>2.2205993107697927E-2</v>
      </c>
      <c r="O3913" s="1403">
        <f>IF(base[[#This Row],[L/P Líquido]]&gt;0,1,0)</f>
        <v>1</v>
      </c>
      <c r="P3913" s="1403"/>
      <c r="Q3913" s="1403" t="str">
        <f>LEFT(base[[#This Row],[Evento / Mercado]],FIND("vs",base[[#This Row],[Evento / Mercado]])-2)</f>
        <v>Shanghai Shenhua</v>
      </c>
      <c r="R391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403" t="str">
        <f>LEFT(base[[#This Row],[Evento / Mercado]],FIND("/",base[[#This Row],[Evento / Mercado]])-2)</f>
        <v>Shanghai Shenhua vs Shandong Taishan</v>
      </c>
      <c r="T3913" s="1404">
        <f>base[[#This Row],[Data de liquidação]]</f>
        <v>46262.441400462965</v>
      </c>
    </row>
    <row r="3914" spans="2:20" ht="15" customHeight="1" x14ac:dyDescent="0.25">
      <c r="B3914" s="1398" t="s">
        <v>4609</v>
      </c>
      <c r="C3914" s="859" t="s">
        <v>3512</v>
      </c>
      <c r="D3914" s="1399">
        <v>46262.456122685187</v>
      </c>
      <c r="E3914" s="1400">
        <v>-419.98</v>
      </c>
      <c r="F3914" s="583">
        <v>4.4999999999999998E-2</v>
      </c>
      <c r="G3914" s="1401">
        <f t="shared" si="153"/>
        <v>-419.98</v>
      </c>
      <c r="H3914" s="1401" t="s">
        <v>74</v>
      </c>
      <c r="I3914" s="1402" t="s">
        <v>692</v>
      </c>
      <c r="J3914" s="1401">
        <v>12.5</v>
      </c>
      <c r="K3914" s="1401">
        <v>419.98</v>
      </c>
      <c r="L3914" s="1399">
        <f>INT(base[[#This Row],[Data de liquidação]])</f>
        <v>46262</v>
      </c>
      <c r="M3914" s="1401">
        <f>base[[#This Row],[L/P Bruto]]-base[[#This Row],[L/P Líquido]]</f>
        <v>0</v>
      </c>
      <c r="N3914" s="1401">
        <f>base[[#This Row],[L/P Líquido]]/base[[#This Row],[Stake/Responsabilidade]]</f>
        <v>-1</v>
      </c>
      <c r="O3914" s="1403">
        <f>IF(base[[#This Row],[L/P Líquido]]&gt;0,1,0)</f>
        <v>0</v>
      </c>
      <c r="P3914" s="1412" t="s">
        <v>4466</v>
      </c>
      <c r="Q3914" s="1403" t="str">
        <f>LEFT(base[[#This Row],[Evento / Mercado]],FIND("vs",base[[#This Row],[Evento / Mercado]])-2)</f>
        <v>Shenzhen Peng City</v>
      </c>
      <c r="R391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403" t="str">
        <f>LEFT(base[[#This Row],[Evento / Mercado]],FIND("/",base[[#This Row],[Evento / Mercado]])-2)</f>
        <v>Shenzhen Peng City vs Shanghai Port</v>
      </c>
      <c r="T3914" s="1404">
        <f>base[[#This Row],[Data de liquidação]]</f>
        <v>46262.456122685187</v>
      </c>
    </row>
    <row r="3915" spans="2:20" ht="15" customHeight="1" x14ac:dyDescent="0.25">
      <c r="B3915" s="1398" t="s">
        <v>4608</v>
      </c>
      <c r="C3915" s="859" t="s">
        <v>3512</v>
      </c>
      <c r="D3915" s="1399">
        <v>46262.593194444446</v>
      </c>
      <c r="E3915" s="1400">
        <v>70.739999999999995</v>
      </c>
      <c r="F3915" s="583">
        <v>4.4999999999999998E-2</v>
      </c>
      <c r="G3915" s="1401">
        <f t="shared" si="153"/>
        <v>74.073298429319365</v>
      </c>
      <c r="H3915" s="1373" t="s">
        <v>314</v>
      </c>
      <c r="I3915" s="1374" t="s">
        <v>349</v>
      </c>
      <c r="J3915" s="1401">
        <v>1.62</v>
      </c>
      <c r="K3915" s="1401">
        <v>120</v>
      </c>
      <c r="L3915" s="1399">
        <f>INT(base[[#This Row],[Data de liquidação]])</f>
        <v>46262</v>
      </c>
      <c r="M3915" s="1401">
        <f>base[[#This Row],[L/P Bruto]]-base[[#This Row],[L/P Líquido]]</f>
        <v>3.3332984293193704</v>
      </c>
      <c r="N3915" s="1401">
        <f>base[[#This Row],[L/P Líquido]]/base[[#This Row],[Stake/Responsabilidade]]</f>
        <v>0.58949999999999991</v>
      </c>
      <c r="O3915" s="1403">
        <f>IF(base[[#This Row],[L/P Líquido]]&gt;0,1,0)</f>
        <v>1</v>
      </c>
      <c r="P3915" s="1403"/>
      <c r="Q3915" s="1403" t="str">
        <f>LEFT(base[[#This Row],[Evento / Mercado]],FIND("vs",base[[#This Row],[Evento / Mercado]])-2)</f>
        <v>Eintracht Braunschweig</v>
      </c>
      <c r="R391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403" t="str">
        <f>LEFT(base[[#This Row],[Evento / Mercado]],FIND("/",base[[#This Row],[Evento / Mercado]])-2)</f>
        <v>Eintracht Braunschweig vs Hertha BSC</v>
      </c>
      <c r="T3915" s="1404">
        <f>base[[#This Row],[Data de liquidação]]</f>
        <v>46262.593194444446</v>
      </c>
    </row>
    <row r="3916" spans="2:20" ht="15" customHeight="1" x14ac:dyDescent="0.25">
      <c r="B3916" s="1398" t="s">
        <v>4607</v>
      </c>
      <c r="C3916" s="859" t="s">
        <v>3512</v>
      </c>
      <c r="D3916" s="1399">
        <v>46262.61613425926</v>
      </c>
      <c r="E3916" s="1400">
        <v>-64.75</v>
      </c>
      <c r="F3916" s="583">
        <v>4.4999999999999998E-2</v>
      </c>
      <c r="G3916" s="1401">
        <f t="shared" si="153"/>
        <v>-64.75</v>
      </c>
      <c r="H3916" s="1401" t="s">
        <v>1646</v>
      </c>
      <c r="I3916" s="1402" t="s">
        <v>2916</v>
      </c>
      <c r="J3916" s="1401">
        <v>8.4</v>
      </c>
      <c r="K3916" s="1401">
        <v>64.75</v>
      </c>
      <c r="L3916" s="1399">
        <f>INT(base[[#This Row],[Data de liquidação]])</f>
        <v>46262</v>
      </c>
      <c r="M3916" s="1401">
        <f>base[[#This Row],[L/P Bruto]]-base[[#This Row],[L/P Líquido]]</f>
        <v>0</v>
      </c>
      <c r="N3916" s="1401">
        <f>base[[#This Row],[L/P Líquido]]/base[[#This Row],[Stake/Responsabilidade]]</f>
        <v>-1</v>
      </c>
      <c r="O3916" s="1403">
        <f>IF(base[[#This Row],[L/P Líquido]]&gt;0,1,0)</f>
        <v>0</v>
      </c>
      <c r="P3916" s="1403"/>
      <c r="Q3916" s="1403" t="str">
        <f>LEFT(base[[#This Row],[Evento / Mercado]],FIND("vs",base[[#This Row],[Evento / Mercado]])-2)</f>
        <v>Al-Riyadh</v>
      </c>
      <c r="R391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403" t="str">
        <f>LEFT(base[[#This Row],[Evento / Mercado]],FIND("/",base[[#This Row],[Evento / Mercado]])-2)</f>
        <v>Al-Riyadh vs Neom SC</v>
      </c>
      <c r="T3916" s="1404">
        <f>base[[#This Row],[Data de liquidação]]</f>
        <v>46262.61613425926</v>
      </c>
    </row>
    <row r="3917" spans="2:20" ht="15" customHeight="1" x14ac:dyDescent="0.25">
      <c r="B3917" s="1398" t="s">
        <v>4606</v>
      </c>
      <c r="C3917" s="859" t="s">
        <v>3512</v>
      </c>
      <c r="D3917" s="1399">
        <v>46262.642164351855</v>
      </c>
      <c r="E3917" s="1400">
        <v>-400.03</v>
      </c>
      <c r="F3917" s="583">
        <v>4.4999999999999998E-2</v>
      </c>
      <c r="G3917" s="1401">
        <f t="shared" si="153"/>
        <v>-400.03</v>
      </c>
      <c r="H3917" s="1401" t="s">
        <v>3231</v>
      </c>
      <c r="I3917" s="1402" t="s">
        <v>626</v>
      </c>
      <c r="J3917" s="1401">
        <f>(4.2*100+6.2*100+5.3*100.02+5.7*100.02)/base[[#This Row],[Stake/Responsabilidade]]</f>
        <v>5.3500149985001499</v>
      </c>
      <c r="K3917" s="1401">
        <v>400.04</v>
      </c>
      <c r="L3917" s="1399">
        <f>INT(base[[#This Row],[Data de liquidação]])</f>
        <v>46262</v>
      </c>
      <c r="M3917" s="1401">
        <f>base[[#This Row],[L/P Bruto]]-base[[#This Row],[L/P Líquido]]</f>
        <v>0</v>
      </c>
      <c r="N3917" s="1401">
        <f>base[[#This Row],[L/P Líquido]]/base[[#This Row],[Stake/Responsabilidade]]</f>
        <v>-0.99997500249974991</v>
      </c>
      <c r="O3917" s="1403">
        <f>IF(base[[#This Row],[L/P Líquido]]&gt;0,1,0)</f>
        <v>0</v>
      </c>
      <c r="P3917" s="1403"/>
      <c r="Q3917" s="1403" t="str">
        <f>LEFT(base[[#This Row],[Evento / Mercado]],FIND("vs",base[[#This Row],[Evento / Mercado]])-2)</f>
        <v>VfL Bochum</v>
      </c>
      <c r="R391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403" t="str">
        <f>LEFT(base[[#This Row],[Evento / Mercado]],FIND("/",base[[#This Row],[Evento / Mercado]])-2)</f>
        <v>VfL Bochum vs VfL Osnabrück</v>
      </c>
      <c r="T3917" s="1404">
        <f>base[[#This Row],[Data de liquidação]]</f>
        <v>46262.642164351855</v>
      </c>
    </row>
    <row r="3918" spans="2:20" ht="15" customHeight="1" x14ac:dyDescent="0.25">
      <c r="B3918" s="1398" t="s">
        <v>4605</v>
      </c>
      <c r="C3918" s="859" t="s">
        <v>3512</v>
      </c>
      <c r="D3918" s="1399">
        <v>46262.702997685185</v>
      </c>
      <c r="E3918" s="1400">
        <v>29.75</v>
      </c>
      <c r="F3918" s="583">
        <v>4.4999999999999998E-2</v>
      </c>
      <c r="G3918" s="1401">
        <f t="shared" si="153"/>
        <v>31.151832460732987</v>
      </c>
      <c r="H3918" s="1401" t="s">
        <v>3231</v>
      </c>
      <c r="I3918" s="1402" t="s">
        <v>626</v>
      </c>
      <c r="J3918" s="1401">
        <f>(14*39.65+14.5*100.04+15.5*300.01)/base[[#This Row],[Stake/Responsabilidade]]</f>
        <v>15.137218558107801</v>
      </c>
      <c r="K3918" s="1401">
        <f>400.05+39.65</f>
        <v>439.7</v>
      </c>
      <c r="L3918" s="1399">
        <f>INT(base[[#This Row],[Data de liquidação]])</f>
        <v>46262</v>
      </c>
      <c r="M3918" s="1401">
        <f>base[[#This Row],[L/P Bruto]]-base[[#This Row],[L/P Líquido]]</f>
        <v>1.4018324607329866</v>
      </c>
      <c r="N3918" s="1401">
        <f>base[[#This Row],[L/P Líquido]]/base[[#This Row],[Stake/Responsabilidade]]</f>
        <v>6.7659768023652492E-2</v>
      </c>
      <c r="O3918" s="1403">
        <f>IF(base[[#This Row],[L/P Líquido]]&gt;0,1,0)</f>
        <v>1</v>
      </c>
      <c r="P3918" s="1403"/>
      <c r="Q3918" s="1403" t="str">
        <f>LEFT(base[[#This Row],[Evento / Mercado]],FIND("vs",base[[#This Row],[Evento / Mercado]])-2)</f>
        <v>Montpellier HSC</v>
      </c>
      <c r="R391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403" t="str">
        <f>LEFT(base[[#This Row],[Evento / Mercado]],FIND("/",base[[#This Row],[Evento / Mercado]])-2)</f>
        <v>Montpellier HSC vs US Boulogne</v>
      </c>
      <c r="T3918" s="1404">
        <f>base[[#This Row],[Data de liquidação]]</f>
        <v>46262.702997685185</v>
      </c>
    </row>
    <row r="3919" spans="2:20" ht="15" customHeight="1" x14ac:dyDescent="0.25">
      <c r="B3919" s="1398" t="s">
        <v>4604</v>
      </c>
      <c r="C3919" s="859" t="s">
        <v>3512</v>
      </c>
      <c r="D3919" s="1399">
        <v>46262.703761574077</v>
      </c>
      <c r="E3919" s="1400">
        <v>5.79</v>
      </c>
      <c r="F3919" s="583">
        <v>4.4999999999999998E-2</v>
      </c>
      <c r="G3919" s="1401">
        <f t="shared" si="153"/>
        <v>6.0628272251308903</v>
      </c>
      <c r="H3919" s="1401" t="s">
        <v>3231</v>
      </c>
      <c r="I3919" s="1402" t="s">
        <v>626</v>
      </c>
      <c r="J3919" s="1401">
        <v>17.5</v>
      </c>
      <c r="K3919" s="1401">
        <v>99.99</v>
      </c>
      <c r="L3919" s="1399">
        <f>INT(base[[#This Row],[Data de liquidação]])</f>
        <v>46262</v>
      </c>
      <c r="M3919" s="1401">
        <f>base[[#This Row],[L/P Bruto]]-base[[#This Row],[L/P Líquido]]</f>
        <v>0.27282722513089031</v>
      </c>
      <c r="N3919" s="1401">
        <f>base[[#This Row],[L/P Líquido]]/base[[#This Row],[Stake/Responsabilidade]]</f>
        <v>5.7905790579057911E-2</v>
      </c>
      <c r="O3919" s="1403">
        <f>IF(base[[#This Row],[L/P Líquido]]&gt;0,1,0)</f>
        <v>1</v>
      </c>
      <c r="P3919" s="1403"/>
      <c r="Q3919" s="1403" t="str">
        <f>LEFT(base[[#This Row],[Evento / Mercado]],FIND("vs",base[[#This Row],[Evento / Mercado]])-2)</f>
        <v>Rodez</v>
      </c>
      <c r="R391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403" t="str">
        <f>LEFT(base[[#This Row],[Evento / Mercado]],FIND("/",base[[#This Row],[Evento / Mercado]])-2)</f>
        <v>Rodez vs Pau FC</v>
      </c>
      <c r="T3919" s="1404">
        <f>base[[#This Row],[Data de liquidação]]</f>
        <v>46262.703761574077</v>
      </c>
    </row>
    <row r="3920" spans="2:20" ht="15" customHeight="1" x14ac:dyDescent="0.25">
      <c r="B3920" s="1398" t="s">
        <v>4603</v>
      </c>
      <c r="C3920" s="859" t="s">
        <v>3512</v>
      </c>
      <c r="D3920" s="1399">
        <v>46262.709351851852</v>
      </c>
      <c r="E3920" s="1400">
        <v>31.29</v>
      </c>
      <c r="F3920" s="583">
        <v>4.4999999999999998E-2</v>
      </c>
      <c r="G3920" s="1401">
        <f t="shared" si="153"/>
        <v>32.764397905759161</v>
      </c>
      <c r="H3920" s="1401" t="s">
        <v>3367</v>
      </c>
      <c r="I3920" s="1402" t="s">
        <v>391</v>
      </c>
      <c r="J3920" s="1401">
        <v>15.5</v>
      </c>
      <c r="K3920" s="1401">
        <v>475.02</v>
      </c>
      <c r="L3920" s="1399">
        <f>INT(base[[#This Row],[Data de liquidação]])</f>
        <v>46262</v>
      </c>
      <c r="M3920" s="1401">
        <f>base[[#This Row],[L/P Bruto]]-base[[#This Row],[L/P Líquido]]</f>
        <v>1.4743979057591616</v>
      </c>
      <c r="N3920" s="1401">
        <f>base[[#This Row],[L/P Líquido]]/base[[#This Row],[Stake/Responsabilidade]]</f>
        <v>6.5870910698496904E-2</v>
      </c>
      <c r="O3920" s="1403">
        <f>IF(base[[#This Row],[L/P Líquido]]&gt;0,1,0)</f>
        <v>1</v>
      </c>
      <c r="P3920" s="1412" t="s">
        <v>1209</v>
      </c>
      <c r="Q3920" s="1403" t="str">
        <f>LEFT(base[[#This Row],[Evento / Mercado]],FIND("vs",base[[#This Row],[Evento / Mercado]])-2)</f>
        <v>Al-Nassr Riyadh</v>
      </c>
      <c r="R392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403" t="str">
        <f>LEFT(base[[#This Row],[Evento / Mercado]],FIND("/",base[[#This Row],[Evento / Mercado]])-2)</f>
        <v>Al-Nassr Riyadh vs Al-Taawoun Buraidah</v>
      </c>
      <c r="T3920" s="1404">
        <f>base[[#This Row],[Data de liquidação]]</f>
        <v>46262.709351851852</v>
      </c>
    </row>
    <row r="3921" spans="2:22" ht="15" customHeight="1" x14ac:dyDescent="0.25">
      <c r="B3921" s="1398" t="s">
        <v>4602</v>
      </c>
      <c r="C3921" s="859" t="s">
        <v>3512</v>
      </c>
      <c r="D3921" s="1399">
        <v>46262.718842592592</v>
      </c>
      <c r="E3921" s="1400">
        <v>108.87</v>
      </c>
      <c r="F3921" s="583">
        <v>4.4999999999999998E-2</v>
      </c>
      <c r="G3921" s="1401">
        <f t="shared" si="153"/>
        <v>114.00000000000001</v>
      </c>
      <c r="H3921" s="1373" t="s">
        <v>314</v>
      </c>
      <c r="I3921" s="1374" t="s">
        <v>349</v>
      </c>
      <c r="J3921" s="1401">
        <v>1.95</v>
      </c>
      <c r="K3921" s="1401">
        <v>120</v>
      </c>
      <c r="L3921" s="1399">
        <f>INT(base[[#This Row],[Data de liquidação]])</f>
        <v>46262</v>
      </c>
      <c r="M3921" s="1401">
        <f>base[[#This Row],[L/P Bruto]]-base[[#This Row],[L/P Líquido]]</f>
        <v>5.1300000000000097</v>
      </c>
      <c r="N3921" s="1401">
        <f>base[[#This Row],[L/P Líquido]]/base[[#This Row],[Stake/Responsabilidade]]</f>
        <v>0.90725</v>
      </c>
      <c r="O3921" s="1403">
        <f>IF(base[[#This Row],[L/P Líquido]]&gt;0,1,0)</f>
        <v>1</v>
      </c>
      <c r="P3921" s="1403"/>
      <c r="Q3921" s="1403" t="str">
        <f>LEFT(base[[#This Row],[Evento / Mercado]],FIND("vs",base[[#This Row],[Evento / Mercado]])-2)</f>
        <v>Wrexham</v>
      </c>
      <c r="R392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403" t="str">
        <f>LEFT(base[[#This Row],[Evento / Mercado]],FIND("/",base[[#This Row],[Evento / Mercado]])-2)</f>
        <v>Wrexham vs Birmingham City</v>
      </c>
      <c r="T3921" s="1404">
        <f>base[[#This Row],[Data de liquidação]]</f>
        <v>46262.718842592592</v>
      </c>
    </row>
    <row r="3922" spans="2:22" ht="15" customHeight="1" x14ac:dyDescent="0.25">
      <c r="B3922" s="1398" t="s">
        <v>1566</v>
      </c>
      <c r="C3922" s="859" t="s">
        <v>3512</v>
      </c>
      <c r="D3922" s="1399">
        <v>46262.726076388892</v>
      </c>
      <c r="E3922" s="1400">
        <v>43.2</v>
      </c>
      <c r="F3922" s="583">
        <v>4.4999999999999998E-2</v>
      </c>
      <c r="G3922" s="1401">
        <f t="shared" si="153"/>
        <v>45.235602094240839</v>
      </c>
      <c r="H3922" s="1401" t="s">
        <v>3367</v>
      </c>
      <c r="I3922" s="1402" t="s">
        <v>391</v>
      </c>
      <c r="J3922" s="1401">
        <v>11.5</v>
      </c>
      <c r="K3922" s="1401">
        <v>475.02</v>
      </c>
      <c r="L3922" s="1399">
        <f>INT(base[[#This Row],[Data de liquidação]])</f>
        <v>46262</v>
      </c>
      <c r="M3922" s="1401">
        <f>base[[#This Row],[L/P Bruto]]-base[[#This Row],[L/P Líquido]]</f>
        <v>2.0356020942408364</v>
      </c>
      <c r="N3922" s="1401">
        <f>base[[#This Row],[L/P Líquido]]/base[[#This Row],[Stake/Responsabilidade]]</f>
        <v>9.0943539219401293E-2</v>
      </c>
      <c r="O3922" s="1403">
        <f>IF(base[[#This Row],[L/P Líquido]]&gt;0,1,0)</f>
        <v>1</v>
      </c>
      <c r="P3922" s="1412" t="s">
        <v>1199</v>
      </c>
      <c r="Q3922" s="1403" t="str">
        <f>LEFT(base[[#This Row],[Evento / Mercado]],FIND("vs",base[[#This Row],[Evento / Mercado]])-2)</f>
        <v>FC Bayern München</v>
      </c>
      <c r="R392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403" t="str">
        <f>LEFT(base[[#This Row],[Evento / Mercado]],FIND("/",base[[#This Row],[Evento / Mercado]])-2)</f>
        <v>FC Bayern München vs VfB Stuttgart</v>
      </c>
      <c r="T3922" s="1404">
        <f>base[[#This Row],[Data de liquidação]]</f>
        <v>46262.726076388892</v>
      </c>
    </row>
    <row r="3923" spans="2:22" ht="15" customHeight="1" x14ac:dyDescent="0.25">
      <c r="B3923" s="1398" t="s">
        <v>4601</v>
      </c>
      <c r="C3923" s="859" t="s">
        <v>3512</v>
      </c>
      <c r="D3923" s="1399">
        <v>46262.742395833331</v>
      </c>
      <c r="E3923" s="1400">
        <v>91.52</v>
      </c>
      <c r="F3923" s="583">
        <v>4.4999999999999998E-2</v>
      </c>
      <c r="G3923" s="1401">
        <f t="shared" si="153"/>
        <v>95.832460732984288</v>
      </c>
      <c r="H3923" s="1373" t="s">
        <v>314</v>
      </c>
      <c r="I3923" s="1374" t="s">
        <v>349</v>
      </c>
      <c r="J3923" s="1401">
        <v>1.8</v>
      </c>
      <c r="K3923" s="1401">
        <v>119.75</v>
      </c>
      <c r="L3923" s="1399">
        <f>INT(base[[#This Row],[Data de liquidação]])</f>
        <v>46262</v>
      </c>
      <c r="M3923" s="1401">
        <f>base[[#This Row],[L/P Bruto]]-base[[#This Row],[L/P Líquido]]</f>
        <v>4.3124607329842917</v>
      </c>
      <c r="N3923" s="1401">
        <f>base[[#This Row],[L/P Líquido]]/base[[#This Row],[Stake/Responsabilidade]]</f>
        <v>0.76425887265135695</v>
      </c>
      <c r="O3923" s="1403">
        <f>IF(base[[#This Row],[L/P Líquido]]&gt;0,1,0)</f>
        <v>1</v>
      </c>
      <c r="P3923" s="1403"/>
      <c r="Q3923" s="1403" t="str">
        <f>LEFT(base[[#This Row],[Evento / Mercado]],FIND("vs",base[[#This Row],[Evento / Mercado]])-2)</f>
        <v>Lille OSC</v>
      </c>
      <c r="R392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403" t="str">
        <f>LEFT(base[[#This Row],[Evento / Mercado]],FIND("/",base[[#This Row],[Evento / Mercado]])-2)</f>
        <v>Lille OSC vs Paris Saint-Germain</v>
      </c>
      <c r="T3923" s="1404">
        <f>base[[#This Row],[Data de liquidação]]</f>
        <v>46262.742395833331</v>
      </c>
    </row>
    <row r="3924" spans="2:22" ht="15" customHeight="1" x14ac:dyDescent="0.25">
      <c r="B3924" s="1398" t="s">
        <v>4600</v>
      </c>
      <c r="C3924" s="859" t="s">
        <v>3512</v>
      </c>
      <c r="D3924" s="1399">
        <v>46262.756273148145</v>
      </c>
      <c r="E3924" s="1400">
        <v>47.75</v>
      </c>
      <c r="F3924" s="583">
        <v>4.4999999999999998E-2</v>
      </c>
      <c r="G3924" s="1401">
        <f t="shared" si="153"/>
        <v>50</v>
      </c>
      <c r="H3924" s="1401" t="s">
        <v>3367</v>
      </c>
      <c r="I3924" s="1402" t="s">
        <v>390</v>
      </c>
      <c r="J3924" s="1401">
        <v>10.5</v>
      </c>
      <c r="K3924" s="1401">
        <v>475</v>
      </c>
      <c r="L3924" s="1399">
        <f>INT(base[[#This Row],[Data de liquidação]])</f>
        <v>46262</v>
      </c>
      <c r="M3924" s="1401">
        <f>base[[#This Row],[L/P Bruto]]-base[[#This Row],[L/P Líquido]]</f>
        <v>2.25</v>
      </c>
      <c r="N3924" s="1401">
        <f>base[[#This Row],[L/P Líquido]]/base[[#This Row],[Stake/Responsabilidade]]</f>
        <v>0.10052631578947369</v>
      </c>
      <c r="O3924" s="1403">
        <f>IF(base[[#This Row],[L/P Líquido]]&gt;0,1,0)</f>
        <v>1</v>
      </c>
      <c r="P3924" s="1412" t="s">
        <v>1202</v>
      </c>
      <c r="Q3924" s="1403" t="str">
        <f>LEFT(base[[#This Row],[Evento / Mercado]],FIND("vs",base[[#This Row],[Evento / Mercado]])-2)</f>
        <v>Rio Ave</v>
      </c>
      <c r="R392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403" t="str">
        <f>LEFT(base[[#This Row],[Evento / Mercado]],FIND("/",base[[#This Row],[Evento / Mercado]])-2)</f>
        <v>Rio Ave vs Sporting CP</v>
      </c>
      <c r="T3924" s="1404">
        <f>base[[#This Row],[Data de liquidação]]</f>
        <v>46262.756273148145</v>
      </c>
    </row>
    <row r="3925" spans="2:22" ht="15" customHeight="1" x14ac:dyDescent="0.25">
      <c r="B3925" s="1398" t="s">
        <v>4599</v>
      </c>
      <c r="C3925" s="859" t="s">
        <v>3512</v>
      </c>
      <c r="D3925" s="1399">
        <v>46262.76525462963</v>
      </c>
      <c r="E3925" s="1400">
        <v>-120</v>
      </c>
      <c r="F3925" s="583">
        <v>4.4999999999999998E-2</v>
      </c>
      <c r="G3925" s="1401">
        <f t="shared" si="153"/>
        <v>-120</v>
      </c>
      <c r="H3925" s="1373" t="s">
        <v>314</v>
      </c>
      <c r="I3925" s="1374" t="s">
        <v>349</v>
      </c>
      <c r="J3925" s="1401">
        <v>1.73</v>
      </c>
      <c r="K3925" s="1401">
        <v>120</v>
      </c>
      <c r="L3925" s="1399">
        <f>INT(base[[#This Row],[Data de liquidação]])</f>
        <v>46262</v>
      </c>
      <c r="M3925" s="1401">
        <f>base[[#This Row],[L/P Bruto]]-base[[#This Row],[L/P Líquido]]</f>
        <v>0</v>
      </c>
      <c r="N3925" s="1401">
        <f>base[[#This Row],[L/P Líquido]]/base[[#This Row],[Stake/Responsabilidade]]</f>
        <v>-1</v>
      </c>
      <c r="O3925" s="1403">
        <f>IF(base[[#This Row],[L/P Líquido]]&gt;0,1,0)</f>
        <v>0</v>
      </c>
      <c r="P3925" s="1403"/>
      <c r="Q3925" s="1403" t="str">
        <f>LEFT(base[[#This Row],[Evento / Mercado]],FIND("vs",base[[#This Row],[Evento / Mercado]])-2)</f>
        <v>Deportivo Alaves</v>
      </c>
      <c r="R392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403" t="str">
        <f>LEFT(base[[#This Row],[Evento / Mercado]],FIND("/",base[[#This Row],[Evento / Mercado]])-2)</f>
        <v>Deportivo Alaves vs Villarreal</v>
      </c>
      <c r="T3925" s="1404">
        <f>base[[#This Row],[Data de liquidação]]</f>
        <v>46262.76525462963</v>
      </c>
    </row>
    <row r="3926" spans="2:22" ht="15" customHeight="1" x14ac:dyDescent="0.25">
      <c r="B3926" s="1398" t="s">
        <v>4598</v>
      </c>
      <c r="C3926" s="859" t="s">
        <v>3512</v>
      </c>
      <c r="D3926" s="1399">
        <v>46262.923946759256</v>
      </c>
      <c r="E3926" s="1400">
        <v>0.76</v>
      </c>
      <c r="F3926" s="583">
        <v>4.4999999999999998E-2</v>
      </c>
      <c r="G3926" s="1401">
        <f t="shared" si="153"/>
        <v>0.79581151832460739</v>
      </c>
      <c r="H3926" s="1366" t="s">
        <v>1646</v>
      </c>
      <c r="I3926" s="1402" t="s">
        <v>3293</v>
      </c>
      <c r="J3926" s="1401">
        <v>1.4</v>
      </c>
      <c r="K3926" s="1401">
        <v>2</v>
      </c>
      <c r="L3926" s="1399">
        <f>INT(base[[#This Row],[Data de liquidação]])</f>
        <v>46262</v>
      </c>
      <c r="M3926" s="1401">
        <f>base[[#This Row],[L/P Bruto]]-base[[#This Row],[L/P Líquido]]</f>
        <v>3.5811518324607383E-2</v>
      </c>
      <c r="N3926" s="1401">
        <f>base[[#This Row],[L/P Líquido]]/base[[#This Row],[Stake/Responsabilidade]]</f>
        <v>0.38</v>
      </c>
      <c r="O3926" s="1403">
        <f>IF(base[[#This Row],[L/P Líquido]]&gt;0,1,0)</f>
        <v>1</v>
      </c>
      <c r="P3926" s="1403"/>
      <c r="Q3926" s="1403" t="str">
        <f>LEFT(base[[#This Row],[Evento / Mercado]],FIND("vs",base[[#This Row],[Evento / Mercado]])-2)</f>
        <v>Atletico Ottawa</v>
      </c>
      <c r="R392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403" t="str">
        <f>LEFT(base[[#This Row],[Evento / Mercado]],FIND("/",base[[#This Row],[Evento / Mercado]])-2)</f>
        <v>Atletico Ottawa vs Inter Toronto FC</v>
      </c>
      <c r="T3926" s="1404">
        <f>base[[#This Row],[Data de liquidação]]</f>
        <v>46262.923946759256</v>
      </c>
    </row>
    <row r="3927" spans="2:22" ht="15" customHeight="1" x14ac:dyDescent="0.25">
      <c r="B3927" s="1405" t="s">
        <v>4632</v>
      </c>
      <c r="C3927" s="859" t="s">
        <v>3512</v>
      </c>
      <c r="D3927" s="1406">
        <v>46263.332256944443</v>
      </c>
      <c r="E3927" s="1407">
        <v>6.37</v>
      </c>
      <c r="F3927" s="583">
        <v>4.4999999999999998E-2</v>
      </c>
      <c r="G3927" s="1408">
        <f t="shared" ref="G3927:G3948" si="154">IF(E3927&gt;0,E3927/(1-F3927),E3927)</f>
        <v>6.6701570680628279</v>
      </c>
      <c r="H3927" s="1366" t="s">
        <v>1646</v>
      </c>
      <c r="I3927" s="1402" t="s">
        <v>2916</v>
      </c>
      <c r="J3927" s="1408">
        <v>11.5</v>
      </c>
      <c r="K3927" s="1408">
        <v>70.040000000000006</v>
      </c>
      <c r="L3927" s="1406">
        <f>INT(base[[#This Row],[Data de liquidação]])</f>
        <v>46263</v>
      </c>
      <c r="M3927" s="1408">
        <f>base[[#This Row],[L/P Bruto]]-base[[#This Row],[L/P Líquido]]</f>
        <v>0.30015706806282783</v>
      </c>
      <c r="N3927" s="1408">
        <f>base[[#This Row],[L/P Líquido]]/base[[#This Row],[Stake/Responsabilidade]]</f>
        <v>9.0948029697315816E-2</v>
      </c>
      <c r="O3927" s="1410">
        <f>IF(base[[#This Row],[L/P Líquido]]&gt;0,1,0)</f>
        <v>1</v>
      </c>
      <c r="P3927" s="1410"/>
      <c r="Q3927" s="1410" t="str">
        <f>LEFT(base[[#This Row],[Evento / Mercado]],FIND("vs",base[[#This Row],[Evento / Mercado]])-2)</f>
        <v>Gamba Osaka</v>
      </c>
      <c r="R392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410" t="str">
        <f>LEFT(base[[#This Row],[Evento / Mercado]],FIND("/",base[[#This Row],[Evento / Mercado]])-2)</f>
        <v>Gamba Osaka vs Sanfrecce Hiroshima</v>
      </c>
      <c r="T3927" s="1411">
        <f>base[[#This Row],[Data de liquidação]]</f>
        <v>46263.332256944443</v>
      </c>
    </row>
    <row r="3928" spans="2:22" ht="15" customHeight="1" x14ac:dyDescent="0.25">
      <c r="B3928" s="1405" t="s">
        <v>4631</v>
      </c>
      <c r="C3928" s="859" t="s">
        <v>3512</v>
      </c>
      <c r="D3928" s="1406">
        <v>46263.353761574072</v>
      </c>
      <c r="E3928" s="1407">
        <v>7.77</v>
      </c>
      <c r="F3928" s="583">
        <v>4.4999999999999998E-2</v>
      </c>
      <c r="G3928" s="1408">
        <f t="shared" si="154"/>
        <v>8.1361256544502609</v>
      </c>
      <c r="H3928" s="1366" t="s">
        <v>1646</v>
      </c>
      <c r="I3928" s="1402" t="s">
        <v>2916</v>
      </c>
      <c r="J3928" s="1408">
        <v>9.8000000000000007</v>
      </c>
      <c r="K3928" s="1408">
        <v>71.63</v>
      </c>
      <c r="L3928" s="1406">
        <f>INT(base[[#This Row],[Data de liquidação]])</f>
        <v>46263</v>
      </c>
      <c r="M3928" s="1408">
        <f>base[[#This Row],[L/P Bruto]]-base[[#This Row],[L/P Líquido]]</f>
        <v>0.36612565445026135</v>
      </c>
      <c r="N3928" s="1408">
        <f>base[[#This Row],[L/P Líquido]]/base[[#This Row],[Stake/Responsabilidade]]</f>
        <v>0.10847410302945694</v>
      </c>
      <c r="O3928" s="1410">
        <f>IF(base[[#This Row],[L/P Líquido]]&gt;0,1,0)</f>
        <v>1</v>
      </c>
      <c r="P3928" s="1410"/>
      <c r="Q3928" s="1410" t="str">
        <f>LEFT(base[[#This Row],[Evento / Mercado]],FIND("vs",base[[#This Row],[Evento / Mercado]])-2)</f>
        <v>Shimizu S-Pulse</v>
      </c>
      <c r="R392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410" t="str">
        <f>LEFT(base[[#This Row],[Evento / Mercado]],FIND("/",base[[#This Row],[Evento / Mercado]])-2)</f>
        <v>Shimizu S-Pulse vs Kashiwa Reysol</v>
      </c>
      <c r="T3928" s="1411">
        <f>base[[#This Row],[Data de liquidação]]</f>
        <v>46263.353761574072</v>
      </c>
    </row>
    <row r="3929" spans="2:22" ht="15" customHeight="1" x14ac:dyDescent="0.25">
      <c r="B3929" s="1405" t="s">
        <v>4630</v>
      </c>
      <c r="C3929" s="859" t="s">
        <v>3512</v>
      </c>
      <c r="D3929" s="1406">
        <v>46263.397893518515</v>
      </c>
      <c r="E3929" s="1407">
        <v>1.18</v>
      </c>
      <c r="F3929" s="583">
        <v>4.4999999999999998E-2</v>
      </c>
      <c r="G3929" s="1408">
        <f t="shared" si="154"/>
        <v>1.2356020942408377</v>
      </c>
      <c r="H3929" s="1366" t="s">
        <v>1646</v>
      </c>
      <c r="I3929" s="1402" t="s">
        <v>3293</v>
      </c>
      <c r="J3929" s="1408">
        <v>1.62</v>
      </c>
      <c r="K3929" s="1408">
        <v>2</v>
      </c>
      <c r="L3929" s="1406">
        <f>INT(base[[#This Row],[Data de liquidação]])</f>
        <v>46263</v>
      </c>
      <c r="M3929" s="1408">
        <f>base[[#This Row],[L/P Bruto]]-base[[#This Row],[L/P Líquido]]</f>
        <v>5.5602094240837729E-2</v>
      </c>
      <c r="N3929" s="1408">
        <f>base[[#This Row],[L/P Líquido]]/base[[#This Row],[Stake/Responsabilidade]]</f>
        <v>0.59</v>
      </c>
      <c r="O3929" s="1410">
        <f>IF(base[[#This Row],[L/P Líquido]]&gt;0,1,0)</f>
        <v>1</v>
      </c>
      <c r="P3929" s="1410"/>
      <c r="Q3929" s="1410" t="str">
        <f>LEFT(base[[#This Row],[Evento / Mercado]],FIND("vs",base[[#This Row],[Evento / Mercado]])-2)</f>
        <v>1. FC Heidenheim</v>
      </c>
      <c r="R392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410" t="str">
        <f>LEFT(base[[#This Row],[Evento / Mercado]],FIND("/",base[[#This Row],[Evento / Mercado]])-2)</f>
        <v>1. FC Heidenheim vs Dynamo Dresden</v>
      </c>
      <c r="T3929" s="1411">
        <f>base[[#This Row],[Data de liquidação]]</f>
        <v>46263.397893518515</v>
      </c>
    </row>
    <row r="3930" spans="2:22" ht="15" customHeight="1" x14ac:dyDescent="0.25">
      <c r="B3930" s="1405" t="s">
        <v>4629</v>
      </c>
      <c r="C3930" s="859" t="s">
        <v>3512</v>
      </c>
      <c r="D3930" s="1406">
        <v>46263.411863425928</v>
      </c>
      <c r="E3930" s="1407">
        <v>93.97</v>
      </c>
      <c r="F3930" s="583">
        <v>4.4999999999999998E-2</v>
      </c>
      <c r="G3930" s="1408">
        <f t="shared" si="154"/>
        <v>98.397905759162313</v>
      </c>
      <c r="H3930" s="1373" t="s">
        <v>314</v>
      </c>
      <c r="I3930" s="1374" t="s">
        <v>349</v>
      </c>
      <c r="J3930" s="1408">
        <v>1.82</v>
      </c>
      <c r="K3930" s="1408">
        <v>120</v>
      </c>
      <c r="L3930" s="1406">
        <f>INT(base[[#This Row],[Data de liquidação]])</f>
        <v>46263</v>
      </c>
      <c r="M3930" s="1408">
        <f>base[[#This Row],[L/P Bruto]]-base[[#This Row],[L/P Líquido]]</f>
        <v>4.4279057591623143</v>
      </c>
      <c r="N3930" s="1408">
        <f>base[[#This Row],[L/P Líquido]]/base[[#This Row],[Stake/Responsabilidade]]</f>
        <v>0.78308333333333335</v>
      </c>
      <c r="O3930" s="1410">
        <f>IF(base[[#This Row],[L/P Líquido]]&gt;0,1,0)</f>
        <v>1</v>
      </c>
      <c r="P3930" s="1410"/>
      <c r="Q3930" s="1410" t="str">
        <f>LEFT(base[[#This Row],[Evento / Mercado]],FIND("vs",base[[#This Row],[Evento / Mercado]])-2)</f>
        <v>Middlesbrough</v>
      </c>
      <c r="R393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410" t="str">
        <f>LEFT(base[[#This Row],[Evento / Mercado]],FIND("/",base[[#This Row],[Evento / Mercado]])-2)</f>
        <v>Middlesbrough vs West Bromwich Albion</v>
      </c>
      <c r="T3930" s="1411">
        <f>base[[#This Row],[Data de liquidação]]</f>
        <v>46263.411863425928</v>
      </c>
    </row>
    <row r="3931" spans="2:22" ht="15" customHeight="1" x14ac:dyDescent="0.25">
      <c r="B3931" s="1405" t="s">
        <v>4628</v>
      </c>
      <c r="C3931" s="859" t="s">
        <v>3512</v>
      </c>
      <c r="D3931" s="1406">
        <v>46263.430648148147</v>
      </c>
      <c r="E3931" s="1407">
        <v>1.71</v>
      </c>
      <c r="F3931" s="583">
        <v>4.4999999999999998E-2</v>
      </c>
      <c r="G3931" s="1408">
        <f t="shared" si="154"/>
        <v>1.7905759162303665</v>
      </c>
      <c r="H3931" s="1366" t="s">
        <v>1646</v>
      </c>
      <c r="I3931" s="1402" t="s">
        <v>3293</v>
      </c>
      <c r="J3931" s="1408">
        <v>1.89</v>
      </c>
      <c r="K3931" s="1408">
        <v>2</v>
      </c>
      <c r="L3931" s="1406">
        <f>INT(base[[#This Row],[Data de liquidação]])</f>
        <v>46263</v>
      </c>
      <c r="M3931" s="1408">
        <f>base[[#This Row],[L/P Bruto]]-base[[#This Row],[L/P Líquido]]</f>
        <v>8.0575916230366529E-2</v>
      </c>
      <c r="N3931" s="1408">
        <f>base[[#This Row],[L/P Líquido]]/base[[#This Row],[Stake/Responsabilidade]]</f>
        <v>0.85499999999999998</v>
      </c>
      <c r="O3931" s="1410">
        <f>IF(base[[#This Row],[L/P Líquido]]&gt;0,1,0)</f>
        <v>1</v>
      </c>
      <c r="P3931" s="1410"/>
      <c r="Q3931" s="1410" t="str">
        <f>LEFT(base[[#This Row],[Evento / Mercado]],FIND("vs",base[[#This Row],[Evento / Mercado]])-2)</f>
        <v>Derby County</v>
      </c>
      <c r="R393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410" t="str">
        <f>LEFT(base[[#This Row],[Evento / Mercado]],FIND("/",base[[#This Row],[Evento / Mercado]])-2)</f>
        <v>Derby County vs Swansea City</v>
      </c>
      <c r="T3931" s="1411">
        <f>base[[#This Row],[Data de liquidação]]</f>
        <v>46263.430648148147</v>
      </c>
    </row>
    <row r="3932" spans="2:22" ht="15" customHeight="1" x14ac:dyDescent="0.25">
      <c r="B3932" s="1405" t="s">
        <v>4627</v>
      </c>
      <c r="C3932" s="859" t="s">
        <v>3512</v>
      </c>
      <c r="D3932" s="1406">
        <v>46263.436562499999</v>
      </c>
      <c r="E3932" s="1407">
        <v>31.73</v>
      </c>
      <c r="F3932" s="583">
        <v>4.4999999999999998E-2</v>
      </c>
      <c r="G3932" s="1408">
        <f t="shared" si="154"/>
        <v>33.225130890052355</v>
      </c>
      <c r="H3932" s="1408" t="s">
        <v>4317</v>
      </c>
      <c r="I3932" s="1409"/>
      <c r="J3932" s="1408">
        <v>8.4</v>
      </c>
      <c r="K3932" s="1408">
        <v>245.85</v>
      </c>
      <c r="L3932" s="1406">
        <f>INT(base[[#This Row],[Data de liquidação]])</f>
        <v>46263</v>
      </c>
      <c r="M3932" s="1408">
        <f>base[[#This Row],[L/P Bruto]]-base[[#This Row],[L/P Líquido]]</f>
        <v>1.495130890052355</v>
      </c>
      <c r="N3932" s="1408">
        <f>base[[#This Row],[L/P Líquido]]/base[[#This Row],[Stake/Responsabilidade]]</f>
        <v>0.12906243644498677</v>
      </c>
      <c r="O3932" s="1410">
        <f>IF(base[[#This Row],[L/P Líquido]]&gt;0,1,0)</f>
        <v>1</v>
      </c>
      <c r="P3932" s="1410"/>
      <c r="Q3932" s="1410" t="str">
        <f>LEFT(base[[#This Row],[Evento / Mercado]],FIND("vs",base[[#This Row],[Evento / Mercado]])-2)</f>
        <v>Chengdu Rongcheng</v>
      </c>
      <c r="R393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410" t="str">
        <f>LEFT(base[[#This Row],[Evento / Mercado]],FIND("/",base[[#This Row],[Evento / Mercado]])-2)</f>
        <v>Chengdu Rongcheng vs Liaoning Tieren F.C.</v>
      </c>
      <c r="T3932" s="1411">
        <f>base[[#This Row],[Data de liquidação]]</f>
        <v>46263.436562499999</v>
      </c>
    </row>
    <row r="3933" spans="2:22" ht="15" customHeight="1" x14ac:dyDescent="0.25">
      <c r="B3933" s="1405" t="s">
        <v>4626</v>
      </c>
      <c r="C3933" s="859" t="s">
        <v>3512</v>
      </c>
      <c r="D3933" s="1406">
        <v>46263.493518518517</v>
      </c>
      <c r="E3933" s="1407">
        <v>13.169449999999999</v>
      </c>
      <c r="F3933" s="583">
        <v>4.4999999999999998E-2</v>
      </c>
      <c r="G3933" s="1408">
        <f t="shared" si="154"/>
        <v>13.79</v>
      </c>
      <c r="H3933" s="1408" t="s">
        <v>74</v>
      </c>
      <c r="I3933" s="1409" t="s">
        <v>626</v>
      </c>
      <c r="J3933" s="1408">
        <v>30</v>
      </c>
      <c r="K3933" s="1408">
        <v>399.91</v>
      </c>
      <c r="L3933" s="1406">
        <f>INT(base[[#This Row],[Data de liquidação]])</f>
        <v>46263</v>
      </c>
      <c r="M3933" s="1408">
        <f>base[[#This Row],[L/P Bruto]]-base[[#This Row],[L/P Líquido]]</f>
        <v>0.62054999999999971</v>
      </c>
      <c r="N3933" s="1408">
        <f>base[[#This Row],[L/P Líquido]]/base[[#This Row],[Stake/Responsabilidade]]</f>
        <v>3.2931034482758616E-2</v>
      </c>
      <c r="O3933" s="1410">
        <f>IF(base[[#This Row],[L/P Líquido]]&gt;0,1,0)</f>
        <v>1</v>
      </c>
      <c r="P3933" s="1410" t="s">
        <v>4464</v>
      </c>
      <c r="Q3933" s="1410" t="str">
        <f>LEFT(base[[#This Row],[Evento / Mercado]],FIND("vs",base[[#This Row],[Evento / Mercado]])-2)</f>
        <v>BK Häcken</v>
      </c>
      <c r="R3933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410" t="str">
        <f>LEFT(base[[#This Row],[Evento / Mercado]],FIND("/",base[[#This Row],[Evento / Mercado]])-2)</f>
        <v>BK Häcken vs Västerås SK FK</v>
      </c>
      <c r="T3933" s="1411">
        <f>base[[#This Row],[Data de liquidação]]</f>
        <v>46263.493518518517</v>
      </c>
    </row>
    <row r="3934" spans="2:22" ht="15" customHeight="1" x14ac:dyDescent="0.25">
      <c r="B3934" s="1405" t="s">
        <v>4626</v>
      </c>
      <c r="C3934" s="859" t="s">
        <v>3512</v>
      </c>
      <c r="D3934" s="1406">
        <v>46263.493518518517</v>
      </c>
      <c r="E3934" s="1407">
        <v>23.875</v>
      </c>
      <c r="F3934" s="583">
        <v>4.4999999999999998E-2</v>
      </c>
      <c r="G3934" s="1408">
        <f t="shared" ref="G3934" si="155">IF(E3934&gt;0,E3934/(1-F3934),E3934)</f>
        <v>25</v>
      </c>
      <c r="H3934" s="1408" t="s">
        <v>3231</v>
      </c>
      <c r="I3934" s="1409" t="s">
        <v>626</v>
      </c>
      <c r="J3934" s="1408">
        <v>17</v>
      </c>
      <c r="K3934" s="1408">
        <v>400</v>
      </c>
      <c r="L3934" s="1406">
        <f>INT(base[[#This Row],[Data de liquidação]])</f>
        <v>46263</v>
      </c>
      <c r="M3934" s="1408">
        <f>base[[#This Row],[L/P Bruto]]-base[[#This Row],[L/P Líquido]]</f>
        <v>1.125</v>
      </c>
      <c r="N3934" s="1408">
        <f>base[[#This Row],[L/P Líquido]]/base[[#This Row],[Stake/Responsabilidade]]</f>
        <v>5.9687499999999998E-2</v>
      </c>
      <c r="O3934" s="1410">
        <f>IF(base[[#This Row],[L/P Líquido]]&gt;0,1,0)</f>
        <v>1</v>
      </c>
      <c r="P3934" s="1410"/>
      <c r="Q3934" s="1410" t="str">
        <f>LEFT(base[[#This Row],[Evento / Mercado]],FIND("vs",base[[#This Row],[Evento / Mercado]])-2)</f>
        <v>BK Häcken</v>
      </c>
      <c r="R3934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410" t="str">
        <f>LEFT(base[[#This Row],[Evento / Mercado]],FIND("/",base[[#This Row],[Evento / Mercado]])-2)</f>
        <v>BK Häcken vs Västerås SK FK</v>
      </c>
      <c r="T3934" s="1411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 x14ac:dyDescent="0.25">
      <c r="B3935" s="1405" t="s">
        <v>4625</v>
      </c>
      <c r="C3935" s="859" t="s">
        <v>3512</v>
      </c>
      <c r="D3935" s="1406">
        <v>46263.50540509259</v>
      </c>
      <c r="E3935" s="1407">
        <v>68.760000000000005</v>
      </c>
      <c r="F3935" s="583">
        <v>4.4999999999999998E-2</v>
      </c>
      <c r="G3935" s="1408">
        <f t="shared" si="154"/>
        <v>72.000000000000014</v>
      </c>
      <c r="H3935" s="1373" t="s">
        <v>314</v>
      </c>
      <c r="I3935" s="1374" t="s">
        <v>349</v>
      </c>
      <c r="J3935" s="1408">
        <v>1.6</v>
      </c>
      <c r="K3935" s="1408">
        <v>120</v>
      </c>
      <c r="L3935" s="1406">
        <f>INT(base[[#This Row],[Data de liquidação]])</f>
        <v>46263</v>
      </c>
      <c r="M3935" s="1408">
        <f>base[[#This Row],[L/P Bruto]]-base[[#This Row],[L/P Líquido]]</f>
        <v>3.2400000000000091</v>
      </c>
      <c r="N3935" s="1408">
        <f>base[[#This Row],[L/P Líquido]]/base[[#This Row],[Stake/Responsabilidade]]</f>
        <v>0.57300000000000006</v>
      </c>
      <c r="O3935" s="1410">
        <f>IF(base[[#This Row],[L/P Líquido]]&gt;0,1,0)</f>
        <v>1</v>
      </c>
      <c r="P3935" s="1410"/>
      <c r="Q3935" s="1410" t="str">
        <f>LEFT(base[[#This Row],[Evento / Mercado]],FIND("vs",base[[#This Row],[Evento / Mercado]])-2)</f>
        <v>SV Elversberg</v>
      </c>
      <c r="R393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410" t="str">
        <f>LEFT(base[[#This Row],[Evento / Mercado]],FIND("/",base[[#This Row],[Evento / Mercado]])-2)</f>
        <v>SV Elversberg vs Bayer 04 Leverkusen</v>
      </c>
      <c r="T3935" s="1411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 x14ac:dyDescent="0.25">
      <c r="B3936" s="1405" t="s">
        <v>4624</v>
      </c>
      <c r="C3936" s="859" t="s">
        <v>3512</v>
      </c>
      <c r="D3936" s="1406">
        <v>46263.535034722219</v>
      </c>
      <c r="E3936" s="1407">
        <v>45.55</v>
      </c>
      <c r="F3936" s="583">
        <v>4.4999999999999998E-2</v>
      </c>
      <c r="G3936" s="1408">
        <f t="shared" si="154"/>
        <v>47.696335078534034</v>
      </c>
      <c r="H3936" s="1408" t="s">
        <v>150</v>
      </c>
      <c r="I3936" s="1409" t="s">
        <v>627</v>
      </c>
      <c r="J3936" s="1408">
        <v>11</v>
      </c>
      <c r="K3936" s="1408">
        <v>477</v>
      </c>
      <c r="L3936" s="1406">
        <f>INT(base[[#This Row],[Data de liquidação]])</f>
        <v>46263</v>
      </c>
      <c r="M3936" s="1408">
        <f>base[[#This Row],[L/P Bruto]]-base[[#This Row],[L/P Líquido]]</f>
        <v>2.1463350785340367</v>
      </c>
      <c r="N3936" s="1408">
        <f>base[[#This Row],[L/P Líquido]]/base[[#This Row],[Stake/Responsabilidade]]</f>
        <v>9.5492662473794537E-2</v>
      </c>
      <c r="O3936" s="1410">
        <f>IF(base[[#This Row],[L/P Líquido]]&gt;0,1,0)</f>
        <v>1</v>
      </c>
      <c r="P3936" s="1410"/>
      <c r="Q3936" s="1410" t="str">
        <f>LEFT(base[[#This Row],[Evento / Mercado]],FIND("vs",base[[#This Row],[Evento / Mercado]])-2)</f>
        <v>Celtic</v>
      </c>
      <c r="R393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410" t="str">
        <f>LEFT(base[[#This Row],[Evento / Mercado]],FIND("/",base[[#This Row],[Evento / Mercado]])-2)</f>
        <v>Celtic vs Falkirk</v>
      </c>
      <c r="T3936" s="1411">
        <f>base[[#This Row],[Data de liquidação]]</f>
        <v>46263.535034722219</v>
      </c>
    </row>
    <row r="3937" spans="2:20" ht="15" customHeight="1" x14ac:dyDescent="0.25">
      <c r="B3937" s="1405" t="s">
        <v>4623</v>
      </c>
      <c r="C3937" s="859" t="s">
        <v>3512</v>
      </c>
      <c r="D3937" s="1406">
        <v>46263.544270833336</v>
      </c>
      <c r="E3937" s="1407">
        <v>9.65</v>
      </c>
      <c r="F3937" s="583">
        <v>4.4999999999999998E-2</v>
      </c>
      <c r="G3937" s="1408">
        <f t="shared" si="154"/>
        <v>10.104712041884818</v>
      </c>
      <c r="H3937" s="1366" t="s">
        <v>1646</v>
      </c>
      <c r="I3937" s="1409" t="s">
        <v>2274</v>
      </c>
      <c r="J3937" s="1408">
        <v>1.51</v>
      </c>
      <c r="K3937" s="1408">
        <v>20</v>
      </c>
      <c r="L3937" s="1406">
        <f>INT(base[[#This Row],[Data de liquidação]])</f>
        <v>46263</v>
      </c>
      <c r="M3937" s="1408">
        <f>base[[#This Row],[L/P Bruto]]-base[[#This Row],[L/P Líquido]]</f>
        <v>0.45471204188481806</v>
      </c>
      <c r="N3937" s="1408">
        <f>base[[#This Row],[L/P Líquido]]/base[[#This Row],[Stake/Responsabilidade]]</f>
        <v>0.48250000000000004</v>
      </c>
      <c r="O3937" s="1410">
        <f>IF(base[[#This Row],[L/P Líquido]]&gt;0,1,0)</f>
        <v>1</v>
      </c>
      <c r="P3937" s="1410"/>
      <c r="Q3937" s="1410" t="str">
        <f>LEFT(base[[#This Row],[Evento / Mercado]],FIND("vs",base[[#This Row],[Evento / Mercado]])-2)</f>
        <v>Alverca</v>
      </c>
      <c r="R393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410" t="str">
        <f>LEFT(base[[#This Row],[Evento / Mercado]],FIND("/",base[[#This Row],[Evento / Mercado]])-2)</f>
        <v>Alverca vs Santa Clara</v>
      </c>
      <c r="T3937" s="1411">
        <f>base[[#This Row],[Data de liquidação]]</f>
        <v>46263.544270833336</v>
      </c>
    </row>
    <row r="3938" spans="2:20" ht="15" customHeight="1" x14ac:dyDescent="0.25">
      <c r="B3938" s="1405" t="s">
        <v>1661</v>
      </c>
      <c r="C3938" s="859" t="s">
        <v>3512</v>
      </c>
      <c r="D3938" s="1406">
        <v>46263.545243055552</v>
      </c>
      <c r="E3938" s="1407">
        <v>28.3</v>
      </c>
      <c r="F3938" s="583">
        <v>4.4999999999999998E-2</v>
      </c>
      <c r="G3938" s="1408">
        <f t="shared" si="154"/>
        <v>29.633507853403142</v>
      </c>
      <c r="H3938" s="1408" t="s">
        <v>3367</v>
      </c>
      <c r="I3938" s="1409" t="s">
        <v>391</v>
      </c>
      <c r="J3938" s="1408">
        <v>14.5</v>
      </c>
      <c r="K3938" s="1408">
        <v>400.01</v>
      </c>
      <c r="L3938" s="1406">
        <f>INT(base[[#This Row],[Data de liquidação]])</f>
        <v>46263</v>
      </c>
      <c r="M3938" s="1408">
        <f>base[[#This Row],[L/P Bruto]]-base[[#This Row],[L/P Líquido]]</f>
        <v>1.333507853403141</v>
      </c>
      <c r="N3938" s="1408">
        <f>base[[#This Row],[L/P Líquido]]/base[[#This Row],[Stake/Responsabilidade]]</f>
        <v>7.0748231294217645E-2</v>
      </c>
      <c r="O3938" s="1410">
        <f>IF(base[[#This Row],[L/P Líquido]]&gt;0,1,0)</f>
        <v>1</v>
      </c>
      <c r="P3938" s="1410" t="s">
        <v>1217</v>
      </c>
      <c r="Q3938" s="1410" t="str">
        <f>LEFT(base[[#This Row],[Evento / Mercado]],FIND("vs",base[[#This Row],[Evento / Mercado]])-2)</f>
        <v>Celtic</v>
      </c>
      <c r="R393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410" t="str">
        <f>LEFT(base[[#This Row],[Evento / Mercado]],FIND("/",base[[#This Row],[Evento / Mercado]])-2)</f>
        <v>Celtic vs Falkirk</v>
      </c>
      <c r="T3938" s="1411">
        <f>base[[#This Row],[Data de liquidação]]</f>
        <v>46263.545243055552</v>
      </c>
    </row>
    <row r="3939" spans="2:20" ht="15" customHeight="1" x14ac:dyDescent="0.25">
      <c r="B3939" s="1405" t="s">
        <v>4622</v>
      </c>
      <c r="C3939" s="859" t="s">
        <v>3512</v>
      </c>
      <c r="D3939" s="1406">
        <v>46263.554363425923</v>
      </c>
      <c r="E3939" s="1407">
        <v>9.5500000000000007</v>
      </c>
      <c r="F3939" s="583">
        <v>4.4999999999999998E-2</v>
      </c>
      <c r="G3939" s="1408">
        <f t="shared" si="154"/>
        <v>10.000000000000002</v>
      </c>
      <c r="H3939" s="1366" t="s">
        <v>1646</v>
      </c>
      <c r="I3939" s="1409" t="s">
        <v>2274</v>
      </c>
      <c r="J3939" s="1408">
        <v>1.5</v>
      </c>
      <c r="K3939" s="1408">
        <v>20</v>
      </c>
      <c r="L3939" s="1406">
        <f>INT(base[[#This Row],[Data de liquidação]])</f>
        <v>46263</v>
      </c>
      <c r="M3939" s="1408">
        <f>base[[#This Row],[L/P Bruto]]-base[[#This Row],[L/P Líquido]]</f>
        <v>0.45000000000000107</v>
      </c>
      <c r="N3939" s="1408">
        <f>base[[#This Row],[L/P Líquido]]/base[[#This Row],[Stake/Responsabilidade]]</f>
        <v>0.47750000000000004</v>
      </c>
      <c r="O3939" s="1410">
        <f>IF(base[[#This Row],[L/P Líquido]]&gt;0,1,0)</f>
        <v>1</v>
      </c>
      <c r="P3939" s="1410"/>
      <c r="Q3939" s="1410" t="str">
        <f>LEFT(base[[#This Row],[Evento / Mercado]],FIND("vs",base[[#This Row],[Evento / Mercado]])-2)</f>
        <v>Sabadell</v>
      </c>
      <c r="R393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410" t="str">
        <f>LEFT(base[[#This Row],[Evento / Mercado]],FIND("/",base[[#This Row],[Evento / Mercado]])-2)</f>
        <v>Sabadell vs UD Almería</v>
      </c>
      <c r="T3939" s="1411">
        <f>base[[#This Row],[Data de liquidação]]</f>
        <v>46263.554363425923</v>
      </c>
    </row>
    <row r="3940" spans="2:20" ht="15" customHeight="1" x14ac:dyDescent="0.25">
      <c r="B3940" s="1405" t="s">
        <v>4621</v>
      </c>
      <c r="C3940" s="859" t="s">
        <v>3512</v>
      </c>
      <c r="D3940" s="1406">
        <v>46263.600416666668</v>
      </c>
      <c r="E3940" s="1407">
        <v>10.38</v>
      </c>
      <c r="F3940" s="583">
        <v>4.4999999999999998E-2</v>
      </c>
      <c r="G3940" s="1408">
        <f t="shared" si="154"/>
        <v>10.869109947643981</v>
      </c>
      <c r="H3940" s="1366" t="s">
        <v>1646</v>
      </c>
      <c r="I3940" s="1409" t="s">
        <v>2274</v>
      </c>
      <c r="J3940" s="1408">
        <v>1.54</v>
      </c>
      <c r="K3940" s="1408">
        <v>20</v>
      </c>
      <c r="L3940" s="1406">
        <f>INT(base[[#This Row],[Data de liquidação]])</f>
        <v>46263</v>
      </c>
      <c r="M3940" s="1408">
        <f>base[[#This Row],[L/P Bruto]]-base[[#This Row],[L/P Líquido]]</f>
        <v>0.48910994764398019</v>
      </c>
      <c r="N3940" s="1408">
        <f>base[[#This Row],[L/P Líquido]]/base[[#This Row],[Stake/Responsabilidade]]</f>
        <v>0.51900000000000002</v>
      </c>
      <c r="O3940" s="1410">
        <f>IF(base[[#This Row],[L/P Líquido]]&gt;0,1,0)</f>
        <v>1</v>
      </c>
      <c r="P3940" s="1410"/>
      <c r="Q3940" s="1410" t="str">
        <f>LEFT(base[[#This Row],[Evento / Mercado]],FIND("vs",base[[#This Row],[Evento / Mercado]])-2)</f>
        <v>FC Arges Pitesti</v>
      </c>
      <c r="R394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410" t="str">
        <f>LEFT(base[[#This Row],[Evento / Mercado]],FIND("/",base[[#This Row],[Evento / Mercado]])-2)</f>
        <v>FC Arges Pitesti vs Sepsi OSK Sfantu Gheorghe</v>
      </c>
      <c r="T3940" s="1411">
        <f>base[[#This Row],[Data de liquidação]]</f>
        <v>46263.600416666668</v>
      </c>
    </row>
    <row r="3941" spans="2:20" ht="15" customHeight="1" x14ac:dyDescent="0.25">
      <c r="B3941" s="1405" t="s">
        <v>4620</v>
      </c>
      <c r="C3941" s="859" t="s">
        <v>3512</v>
      </c>
      <c r="D3941" s="1406">
        <v>46263.639525462961</v>
      </c>
      <c r="E3941" s="1407">
        <v>-120</v>
      </c>
      <c r="F3941" s="583">
        <v>4.4999999999999998E-2</v>
      </c>
      <c r="G3941" s="1408">
        <f t="shared" si="154"/>
        <v>-120</v>
      </c>
      <c r="H3941" s="1373" t="s">
        <v>314</v>
      </c>
      <c r="I3941" s="1374" t="s">
        <v>349</v>
      </c>
      <c r="J3941" s="1408">
        <v>1.6</v>
      </c>
      <c r="K3941" s="1408">
        <v>120</v>
      </c>
      <c r="L3941" s="1406">
        <f>INT(base[[#This Row],[Data de liquidação]])</f>
        <v>46263</v>
      </c>
      <c r="M3941" s="1408">
        <f>base[[#This Row],[L/P Bruto]]-base[[#This Row],[L/P Líquido]]</f>
        <v>0</v>
      </c>
      <c r="N3941" s="1408">
        <f>base[[#This Row],[L/P Líquido]]/base[[#This Row],[Stake/Responsabilidade]]</f>
        <v>-1</v>
      </c>
      <c r="O3941" s="1410">
        <f>IF(base[[#This Row],[L/P Líquido]]&gt;0,1,0)</f>
        <v>0</v>
      </c>
      <c r="P3941" s="1410"/>
      <c r="Q3941" s="1410" t="str">
        <f>LEFT(base[[#This Row],[Evento / Mercado]],FIND("vs",base[[#This Row],[Evento / Mercado]])-2)</f>
        <v>Tottenham Hotspur</v>
      </c>
      <c r="R394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410" t="str">
        <f>LEFT(base[[#This Row],[Evento / Mercado]],FIND("/",base[[#This Row],[Evento / Mercado]])-2)</f>
        <v>Tottenham Hotspur vs Newcastle United</v>
      </c>
      <c r="T3941" s="1411">
        <f>base[[#This Row],[Data de liquidação]]</f>
        <v>46263.639525462961</v>
      </c>
    </row>
    <row r="3942" spans="2:20" ht="15" customHeight="1" x14ac:dyDescent="0.25">
      <c r="B3942" s="1405" t="s">
        <v>4619</v>
      </c>
      <c r="C3942" s="859" t="s">
        <v>3512</v>
      </c>
      <c r="D3942" s="1406">
        <v>46263.641099537039</v>
      </c>
      <c r="E3942" s="1407">
        <v>41.41</v>
      </c>
      <c r="F3942" s="583">
        <v>4.4999999999999998E-2</v>
      </c>
      <c r="G3942" s="1408">
        <f t="shared" si="154"/>
        <v>43.361256544502616</v>
      </c>
      <c r="H3942" s="1408" t="s">
        <v>150</v>
      </c>
      <c r="I3942" s="1409" t="s">
        <v>627</v>
      </c>
      <c r="J3942" s="1408">
        <v>12</v>
      </c>
      <c r="K3942" s="1408">
        <v>476.96</v>
      </c>
      <c r="L3942" s="1406">
        <f>INT(base[[#This Row],[Data de liquidação]])</f>
        <v>46263</v>
      </c>
      <c r="M3942" s="1408">
        <f>base[[#This Row],[L/P Bruto]]-base[[#This Row],[L/P Líquido]]</f>
        <v>1.9512565445026198</v>
      </c>
      <c r="N3942" s="1408">
        <f>base[[#This Row],[L/P Líquido]]/base[[#This Row],[Stake/Responsabilidade]]</f>
        <v>8.6820697752432063E-2</v>
      </c>
      <c r="O3942" s="1410">
        <f>IF(base[[#This Row],[L/P Líquido]]&gt;0,1,0)</f>
        <v>1</v>
      </c>
      <c r="P3942" s="1410"/>
      <c r="Q3942" s="1410" t="str">
        <f>LEFT(base[[#This Row],[Evento / Mercado]],FIND("vs",base[[#This Row],[Evento / Mercado]])-2)</f>
        <v>Borussia Dortmund</v>
      </c>
      <c r="R394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410" t="str">
        <f>LEFT(base[[#This Row],[Evento / Mercado]],FIND("/",base[[#This Row],[Evento / Mercado]])-2)</f>
        <v>Borussia Dortmund vs Hamburger SV</v>
      </c>
      <c r="T3942" s="1411">
        <f>base[[#This Row],[Data de liquidação]]</f>
        <v>46263.641099537039</v>
      </c>
    </row>
    <row r="3943" spans="2:20" ht="15" customHeight="1" x14ac:dyDescent="0.25">
      <c r="B3943" s="1405" t="s">
        <v>4618</v>
      </c>
      <c r="C3943" s="859" t="s">
        <v>3512</v>
      </c>
      <c r="D3943" s="1406">
        <v>46263.664571759262</v>
      </c>
      <c r="E3943" s="1407">
        <v>-413.04</v>
      </c>
      <c r="F3943" s="583">
        <v>4.4999999999999998E-2</v>
      </c>
      <c r="G3943" s="1408">
        <f t="shared" si="154"/>
        <v>-413.04</v>
      </c>
      <c r="H3943" s="1408" t="s">
        <v>74</v>
      </c>
      <c r="I3943" s="1409" t="s">
        <v>626</v>
      </c>
      <c r="J3943" s="1408">
        <v>25</v>
      </c>
      <c r="K3943" s="1408">
        <v>413.04</v>
      </c>
      <c r="L3943" s="1406">
        <f>INT(base[[#This Row],[Data de liquidação]])</f>
        <v>46263</v>
      </c>
      <c r="M3943" s="1408">
        <f>base[[#This Row],[L/P Bruto]]-base[[#This Row],[L/P Líquido]]</f>
        <v>0</v>
      </c>
      <c r="N3943" s="1408">
        <f>base[[#This Row],[L/P Líquido]]/base[[#This Row],[Stake/Responsabilidade]]</f>
        <v>-1</v>
      </c>
      <c r="O3943" s="1410">
        <f>IF(base[[#This Row],[L/P Líquido]]&gt;0,1,0)</f>
        <v>0</v>
      </c>
      <c r="P3943" s="1410" t="s">
        <v>3634</v>
      </c>
      <c r="Q3943" s="1410" t="str">
        <f>LEFT(base[[#This Row],[Evento / Mercado]],FIND("vs",base[[#This Row],[Evento / Mercado]])-2)</f>
        <v>ÍB Vestmannaeyja</v>
      </c>
      <c r="R3943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410" t="str">
        <f>LEFT(base[[#This Row],[Evento / Mercado]],FIND("/",base[[#This Row],[Evento / Mercado]])-2)</f>
        <v>ÍB Vestmannaeyja vs Þór Akureyri</v>
      </c>
      <c r="T3943" s="1411">
        <f>base[[#This Row],[Data de liquidação]]</f>
        <v>46263.664571759262</v>
      </c>
    </row>
    <row r="3944" spans="2:20" ht="15" customHeight="1" x14ac:dyDescent="0.25">
      <c r="B3944" s="1405" t="s">
        <v>4617</v>
      </c>
      <c r="C3944" s="859" t="s">
        <v>3512</v>
      </c>
      <c r="D3944" s="1406">
        <v>46263.667743055557</v>
      </c>
      <c r="E3944" s="1407">
        <v>30.42</v>
      </c>
      <c r="F3944" s="583">
        <v>4.4999999999999998E-2</v>
      </c>
      <c r="G3944" s="1408">
        <f t="shared" si="154"/>
        <v>31.853403141361259</v>
      </c>
      <c r="H3944" s="1408" t="s">
        <v>3367</v>
      </c>
      <c r="I3944" s="1409" t="s">
        <v>390</v>
      </c>
      <c r="J3944" s="1408">
        <v>14.5</v>
      </c>
      <c r="K3944" s="1408">
        <v>429.98</v>
      </c>
      <c r="L3944" s="1406">
        <f>INT(base[[#This Row],[Data de liquidação]])</f>
        <v>46263</v>
      </c>
      <c r="M3944" s="1408">
        <f>base[[#This Row],[L/P Bruto]]-base[[#This Row],[L/P Líquido]]</f>
        <v>1.4334031413612571</v>
      </c>
      <c r="N3944" s="1408">
        <f>base[[#This Row],[L/P Líquido]]/base[[#This Row],[Stake/Responsabilidade]]</f>
        <v>7.074747662681985E-2</v>
      </c>
      <c r="O3944" s="1410">
        <f>IF(base[[#This Row],[L/P Líquido]]&gt;0,1,0)</f>
        <v>1</v>
      </c>
      <c r="P3944" s="1412" t="s">
        <v>1202</v>
      </c>
      <c r="Q3944" s="1410" t="str">
        <f>LEFT(base[[#This Row],[Evento / Mercado]],FIND("vs",base[[#This Row],[Evento / Mercado]])-2)</f>
        <v>Académico de Viseu</v>
      </c>
      <c r="R3944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410" t="str">
        <f>LEFT(base[[#This Row],[Evento / Mercado]],FIND("/",base[[#This Row],[Evento / Mercado]])-2)</f>
        <v>Académico de Viseu vs FC Porto</v>
      </c>
      <c r="T3944" s="1411">
        <f>base[[#This Row],[Data de liquidação]]</f>
        <v>46263.667743055557</v>
      </c>
    </row>
    <row r="3945" spans="2:20" ht="15" customHeight="1" x14ac:dyDescent="0.25">
      <c r="B3945" s="1405" t="s">
        <v>4616</v>
      </c>
      <c r="C3945" s="859" t="s">
        <v>3512</v>
      </c>
      <c r="D3945" s="1406">
        <v>46263.700486111113</v>
      </c>
      <c r="E3945" s="1407">
        <v>0.49</v>
      </c>
      <c r="F3945" s="583">
        <v>4.4999999999999998E-2</v>
      </c>
      <c r="G3945" s="1408">
        <f t="shared" si="154"/>
        <v>0.51308900523560208</v>
      </c>
      <c r="H3945" s="1366" t="s">
        <v>1646</v>
      </c>
      <c r="I3945" s="1402" t="s">
        <v>3293</v>
      </c>
      <c r="J3945" s="1408">
        <v>1.26</v>
      </c>
      <c r="K3945" s="1408">
        <v>2</v>
      </c>
      <c r="L3945" s="1406">
        <f>INT(base[[#This Row],[Data de liquidação]])</f>
        <v>46263</v>
      </c>
      <c r="M3945" s="1408">
        <f>base[[#This Row],[L/P Bruto]]-base[[#This Row],[L/P Líquido]]</f>
        <v>2.3089005235602089E-2</v>
      </c>
      <c r="N3945" s="1408">
        <f>base[[#This Row],[L/P Líquido]]/base[[#This Row],[Stake/Responsabilidade]]</f>
        <v>0.245</v>
      </c>
      <c r="O3945" s="1410">
        <f>IF(base[[#This Row],[L/P Líquido]]&gt;0,1,0)</f>
        <v>1</v>
      </c>
      <c r="P3945" s="1410"/>
      <c r="Q3945" s="1410" t="str">
        <f>LEFT(base[[#This Row],[Evento / Mercado]],FIND("vs",base[[#This Row],[Evento / Mercado]])-2)</f>
        <v>Galatasaray SK</v>
      </c>
      <c r="R394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410" t="str">
        <f>LEFT(base[[#This Row],[Evento / Mercado]],FIND("/",base[[#This Row],[Evento / Mercado]])-2)</f>
        <v>Galatasaray SK vs Göztepe</v>
      </c>
      <c r="T3945" s="1411">
        <f>base[[#This Row],[Data de liquidação]]</f>
        <v>46263.700486111113</v>
      </c>
    </row>
    <row r="3946" spans="2:20" ht="15" customHeight="1" x14ac:dyDescent="0.25">
      <c r="B3946" s="1405" t="s">
        <v>4615</v>
      </c>
      <c r="C3946" s="859" t="s">
        <v>3512</v>
      </c>
      <c r="D3946" s="1406">
        <v>46263.704375000001</v>
      </c>
      <c r="E3946" s="1407">
        <v>6.37</v>
      </c>
      <c r="F3946" s="583">
        <v>4.4999999999999998E-2</v>
      </c>
      <c r="G3946" s="1408">
        <f t="shared" si="154"/>
        <v>6.6701570680628279</v>
      </c>
      <c r="H3946" s="1366" t="s">
        <v>1646</v>
      </c>
      <c r="I3946" s="1402" t="s">
        <v>2916</v>
      </c>
      <c r="J3946" s="1408">
        <v>11</v>
      </c>
      <c r="K3946" s="1408">
        <v>66.7</v>
      </c>
      <c r="L3946" s="1406">
        <f>INT(base[[#This Row],[Data de liquidação]])</f>
        <v>46263</v>
      </c>
      <c r="M3946" s="1408">
        <f>base[[#This Row],[L/P Bruto]]-base[[#This Row],[L/P Líquido]]</f>
        <v>0.30015706806282783</v>
      </c>
      <c r="N3946" s="1408">
        <f>base[[#This Row],[L/P Líquido]]/base[[#This Row],[Stake/Responsabilidade]]</f>
        <v>9.5502248875562218E-2</v>
      </c>
      <c r="O3946" s="1410">
        <f>IF(base[[#This Row],[L/P Líquido]]&gt;0,1,0)</f>
        <v>1</v>
      </c>
      <c r="P3946" s="1410"/>
      <c r="Q3946" s="1410" t="str">
        <f>LEFT(base[[#This Row],[Evento / Mercado]],FIND("vs",base[[#This Row],[Evento / Mercado]])-2)</f>
        <v>Al-Fateh Al-Hasa</v>
      </c>
      <c r="R394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410" t="str">
        <f>LEFT(base[[#This Row],[Evento / Mercado]],FIND("/",base[[#This Row],[Evento / Mercado]])-2)</f>
        <v>Al-Fateh Al-Hasa vs Al-Ittihad Jeddah</v>
      </c>
      <c r="T3946" s="1411">
        <f>base[[#This Row],[Data de liquidação]]</f>
        <v>46263.704375000001</v>
      </c>
    </row>
    <row r="3947" spans="2:20" ht="15" customHeight="1" x14ac:dyDescent="0.25">
      <c r="B3947" s="1405" t="s">
        <v>4614</v>
      </c>
      <c r="C3947" s="859" t="s">
        <v>3512</v>
      </c>
      <c r="D3947" s="1406">
        <v>46263.72934027778</v>
      </c>
      <c r="E3947" s="1407">
        <v>36.61</v>
      </c>
      <c r="F3947" s="583">
        <v>4.4999999999999998E-2</v>
      </c>
      <c r="G3947" s="1408">
        <f t="shared" si="154"/>
        <v>38.335078534031418</v>
      </c>
      <c r="H3947" s="1408" t="s">
        <v>3367</v>
      </c>
      <c r="I3947" s="1409" t="s">
        <v>391</v>
      </c>
      <c r="J3947" s="1408">
        <v>13</v>
      </c>
      <c r="K3947" s="1408">
        <v>459.96</v>
      </c>
      <c r="L3947" s="1406">
        <f>INT(base[[#This Row],[Data de liquidação]])</f>
        <v>46263</v>
      </c>
      <c r="M3947" s="1408">
        <f>base[[#This Row],[L/P Bruto]]-base[[#This Row],[L/P Líquido]]</f>
        <v>1.7250785340314181</v>
      </c>
      <c r="N3947" s="1408">
        <f>base[[#This Row],[L/P Líquido]]/base[[#This Row],[Stake/Responsabilidade]]</f>
        <v>7.959387772849813E-2</v>
      </c>
      <c r="O3947" s="1410">
        <f>IF(base[[#This Row],[L/P Líquido]]&gt;0,1,0)</f>
        <v>1</v>
      </c>
      <c r="P3947" s="1410" t="s">
        <v>1203</v>
      </c>
      <c r="Q3947" s="1410" t="str">
        <f>LEFT(base[[#This Row],[Evento / Mercado]],FIND("vs",base[[#This Row],[Evento / Mercado]])-2)</f>
        <v>Galatasaray SK</v>
      </c>
      <c r="R394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410" t="str">
        <f>LEFT(base[[#This Row],[Evento / Mercado]],FIND("/",base[[#This Row],[Evento / Mercado]])-2)</f>
        <v>Galatasaray SK vs Göztepe</v>
      </c>
      <c r="T3947" s="1411">
        <f>base[[#This Row],[Data de liquidação]]</f>
        <v>46263.72934027778</v>
      </c>
    </row>
    <row r="3948" spans="2:20" ht="15" customHeight="1" x14ac:dyDescent="0.25">
      <c r="B3948" s="1405" t="s">
        <v>4613</v>
      </c>
      <c r="C3948" s="859" t="s">
        <v>3512</v>
      </c>
      <c r="D3948" s="1406">
        <v>46263.734375</v>
      </c>
      <c r="E3948" s="1407">
        <v>1.57</v>
      </c>
      <c r="F3948" s="583">
        <v>4.4999999999999998E-2</v>
      </c>
      <c r="G3948" s="1408">
        <f t="shared" si="154"/>
        <v>1.6439790575916231</v>
      </c>
      <c r="H3948" s="1366" t="s">
        <v>1646</v>
      </c>
      <c r="I3948" s="1402" t="s">
        <v>3293</v>
      </c>
      <c r="J3948" s="1408">
        <v>1.82</v>
      </c>
      <c r="K3948" s="1408">
        <v>2</v>
      </c>
      <c r="L3948" s="1406">
        <f>INT(base[[#This Row],[Data de liquidação]])</f>
        <v>46263</v>
      </c>
      <c r="M3948" s="1408">
        <f>base[[#This Row],[L/P Bruto]]-base[[#This Row],[L/P Líquido]]</f>
        <v>7.3979057591623043E-2</v>
      </c>
      <c r="N3948" s="1408">
        <f>base[[#This Row],[L/P Líquido]]/base[[#This Row],[Stake/Responsabilidade]]</f>
        <v>0.78500000000000003</v>
      </c>
      <c r="O3948" s="1410">
        <f>IF(base[[#This Row],[L/P Líquido]]&gt;0,1,0)</f>
        <v>1</v>
      </c>
      <c r="P3948" s="1410"/>
      <c r="Q3948" s="1410" t="str">
        <f>LEFT(base[[#This Row],[Evento / Mercado]],FIND("vs",base[[#This Row],[Evento / Mercado]])-2)</f>
        <v>SC União Torreense</v>
      </c>
      <c r="R394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410" t="str">
        <f>LEFT(base[[#This Row],[Evento / Mercado]],FIND("/",base[[#This Row],[Evento / Mercado]])-2)</f>
        <v>SC União Torreense vs Vizela</v>
      </c>
      <c r="T3948" s="1411">
        <f>base[[#This Row],[Data de liquidação]]</f>
        <v>46263.734375</v>
      </c>
    </row>
    <row r="3949" spans="2:20" ht="15" customHeight="1" x14ac:dyDescent="0.25">
      <c r="B3949" s="1425" t="s">
        <v>4666</v>
      </c>
      <c r="C3949" s="859" t="s">
        <v>3512</v>
      </c>
      <c r="D3949" s="1426">
        <v>46263.849641203706</v>
      </c>
      <c r="E3949" s="1427">
        <v>31.67</v>
      </c>
      <c r="F3949" s="583">
        <v>4.4999999999999998E-2</v>
      </c>
      <c r="G3949" s="1428">
        <f t="shared" ref="G3949:G3984" si="157">IF(E3949&gt;0,E3949/(1-F3949),E3949)</f>
        <v>33.162303664921467</v>
      </c>
      <c r="H3949" s="1428" t="s">
        <v>3231</v>
      </c>
      <c r="I3949" s="1429" t="s">
        <v>626</v>
      </c>
      <c r="J3949" s="1428">
        <f>(12.5*300.04+15*98.97)/base[[#This Row],[Stake/Responsabilidade]]</f>
        <v>13.120097240670662</v>
      </c>
      <c r="K3949" s="1428">
        <f>300.04+98.97</f>
        <v>399.01</v>
      </c>
      <c r="L3949" s="1426">
        <f>INT(base[[#This Row],[Data de liquidação]])</f>
        <v>46263</v>
      </c>
      <c r="M3949" s="1428">
        <f>base[[#This Row],[L/P Bruto]]-base[[#This Row],[L/P Líquido]]</f>
        <v>1.4923036649214652</v>
      </c>
      <c r="N3949" s="1428">
        <f>base[[#This Row],[L/P Líquido]]/base[[#This Row],[Stake/Responsabilidade]]</f>
        <v>7.9371444324703652E-2</v>
      </c>
      <c r="O3949" s="1430">
        <f>IF(base[[#This Row],[L/P Líquido]]&gt;0,1,0)</f>
        <v>1</v>
      </c>
      <c r="P3949" s="1430"/>
      <c r="Q3949" s="1430" t="str">
        <f>LEFT(base[[#This Row],[Evento / Mercado]],FIND("vs",base[[#This Row],[Evento / Mercado]])-2)</f>
        <v>Atlético Mineiro</v>
      </c>
      <c r="R3949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30" t="str">
        <f>LEFT(base[[#This Row],[Evento / Mercado]],FIND("/",base[[#This Row],[Evento / Mercado]])-2)</f>
        <v>Atlético Mineiro vs EC Vitória</v>
      </c>
      <c r="T3949" s="1431">
        <f>base[[#This Row],[Data de liquidação]]</f>
        <v>46263.849641203706</v>
      </c>
    </row>
    <row r="3950" spans="2:20" ht="15" customHeight="1" x14ac:dyDescent="0.25">
      <c r="B3950" s="1425" t="s">
        <v>4665</v>
      </c>
      <c r="C3950" s="859" t="s">
        <v>3512</v>
      </c>
      <c r="D3950" s="1426">
        <v>46263.940324074072</v>
      </c>
      <c r="E3950" s="1427">
        <v>7.59</v>
      </c>
      <c r="F3950" s="583">
        <v>4.4999999999999998E-2</v>
      </c>
      <c r="G3950" s="1428">
        <f t="shared" si="157"/>
        <v>7.9476439790575917</v>
      </c>
      <c r="H3950" s="1366" t="s">
        <v>1646</v>
      </c>
      <c r="I3950" s="1402" t="s">
        <v>2916</v>
      </c>
      <c r="J3950" s="1428">
        <v>9.8000000000000007</v>
      </c>
      <c r="K3950" s="1428">
        <v>69.959999999999994</v>
      </c>
      <c r="L3950" s="1426">
        <f>INT(base[[#This Row],[Data de liquidação]])</f>
        <v>46263</v>
      </c>
      <c r="M3950" s="1428">
        <f>base[[#This Row],[L/P Bruto]]-base[[#This Row],[L/P Líquido]]</f>
        <v>0.35764397905759182</v>
      </c>
      <c r="N3950" s="1428">
        <f>base[[#This Row],[L/P Líquido]]/base[[#This Row],[Stake/Responsabilidade]]</f>
        <v>0.10849056603773585</v>
      </c>
      <c r="O3950" s="1430">
        <f>IF(base[[#This Row],[L/P Líquido]]&gt;0,1,0)</f>
        <v>1</v>
      </c>
      <c r="P3950" s="1430"/>
      <c r="Q3950" s="1430" t="str">
        <f>LEFT(base[[#This Row],[Evento / Mercado]],FIND("vs",base[[#This Row],[Evento / Mercado]])-2)</f>
        <v>DC United</v>
      </c>
      <c r="R3950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30" t="str">
        <f>LEFT(base[[#This Row],[Evento / Mercado]],FIND("/",base[[#This Row],[Evento / Mercado]])-2)</f>
        <v>DC United vs Los Angeles FC</v>
      </c>
      <c r="T3950" s="1431">
        <f>base[[#This Row],[Data de liquidação]]</f>
        <v>46263.940324074072</v>
      </c>
    </row>
    <row r="3951" spans="2:20" ht="15" customHeight="1" x14ac:dyDescent="0.25">
      <c r="B3951" s="1425" t="s">
        <v>4664</v>
      </c>
      <c r="C3951" s="859" t="s">
        <v>3512</v>
      </c>
      <c r="D3951" s="1426">
        <v>46263.942754629628</v>
      </c>
      <c r="E3951" s="1427">
        <v>7.24</v>
      </c>
      <c r="F3951" s="583">
        <v>4.4999999999999998E-2</v>
      </c>
      <c r="G3951" s="1428">
        <f t="shared" si="157"/>
        <v>7.5811518324607334</v>
      </c>
      <c r="H3951" s="1428" t="s">
        <v>3294</v>
      </c>
      <c r="I3951" s="1429" t="s">
        <v>626</v>
      </c>
      <c r="J3951" s="1428">
        <v>60</v>
      </c>
      <c r="K3951" s="1428">
        <v>447.22</v>
      </c>
      <c r="L3951" s="1426">
        <f>INT(base[[#This Row],[Data de liquidação]])</f>
        <v>46263</v>
      </c>
      <c r="M3951" s="1428">
        <f>base[[#This Row],[L/P Bruto]]-base[[#This Row],[L/P Líquido]]</f>
        <v>0.34115183246073322</v>
      </c>
      <c r="N3951" s="1428">
        <f>base[[#This Row],[L/P Líquido]]/base[[#This Row],[Stake/Responsabilidade]]</f>
        <v>1.6188900317517105E-2</v>
      </c>
      <c r="O3951" s="1430">
        <f>IF(base[[#This Row],[L/P Líquido]]&gt;0,1,0)</f>
        <v>1</v>
      </c>
      <c r="P3951" s="1430"/>
      <c r="Q3951" s="1430" t="str">
        <f>LEFT(base[[#This Row],[Evento / Mercado]],FIND("vs",base[[#This Row],[Evento / Mercado]])-2)</f>
        <v>Inter Miami CF</v>
      </c>
      <c r="R3951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30" t="str">
        <f>LEFT(base[[#This Row],[Evento / Mercado]],FIND("/",base[[#This Row],[Evento / Mercado]])-2)</f>
        <v>Inter Miami CF vs CF Montreal</v>
      </c>
      <c r="T3951" s="1431">
        <f>base[[#This Row],[Data de liquidação]]</f>
        <v>46263.942754629628</v>
      </c>
    </row>
    <row r="3952" spans="2:20" ht="15" customHeight="1" x14ac:dyDescent="0.25">
      <c r="B3952" s="1425" t="s">
        <v>4663</v>
      </c>
      <c r="C3952" s="859" t="s">
        <v>3512</v>
      </c>
      <c r="D3952" s="1426">
        <v>46263.97824074074</v>
      </c>
      <c r="E3952" s="1427">
        <v>-277.29000000000002</v>
      </c>
      <c r="F3952" s="583">
        <v>4.4999999999999998E-2</v>
      </c>
      <c r="G3952" s="1428">
        <f t="shared" si="157"/>
        <v>-277.29000000000002</v>
      </c>
      <c r="H3952" s="1428" t="s">
        <v>4317</v>
      </c>
      <c r="I3952" s="1429"/>
      <c r="J3952" s="1428">
        <v>14</v>
      </c>
      <c r="K3952" s="1428">
        <v>277.29000000000002</v>
      </c>
      <c r="L3952" s="1426">
        <f>INT(base[[#This Row],[Data de liquidação]])</f>
        <v>46263</v>
      </c>
      <c r="M3952" s="1428">
        <f>base[[#This Row],[L/P Bruto]]-base[[#This Row],[L/P Líquido]]</f>
        <v>0</v>
      </c>
      <c r="N3952" s="1428">
        <f>base[[#This Row],[L/P Líquido]]/base[[#This Row],[Stake/Responsabilidade]]</f>
        <v>-1</v>
      </c>
      <c r="O3952" s="1430">
        <f>IF(base[[#This Row],[L/P Líquido]]&gt;0,1,0)</f>
        <v>0</v>
      </c>
      <c r="P3952" s="1430"/>
      <c r="Q3952" s="1430" t="str">
        <f>LEFT(base[[#This Row],[Evento / Mercado]],FIND("vs",base[[#This Row],[Evento / Mercado]])-2)</f>
        <v>Alianza Lima</v>
      </c>
      <c r="R3952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30" t="str">
        <f>LEFT(base[[#This Row],[Evento / Mercado]],FIND("/",base[[#This Row],[Evento / Mercado]])-2)</f>
        <v>Alianza Lima vs Deportivo Garcilaso</v>
      </c>
      <c r="T3952" s="1431">
        <f>base[[#This Row],[Data de liquidação]]</f>
        <v>46263.97824074074</v>
      </c>
    </row>
    <row r="3953" spans="2:22" ht="15" customHeight="1" x14ac:dyDescent="0.25">
      <c r="B3953" s="1425" t="s">
        <v>4662</v>
      </c>
      <c r="C3953" s="859" t="s">
        <v>3512</v>
      </c>
      <c r="D3953" s="1426">
        <v>46263.978275462963</v>
      </c>
      <c r="E3953" s="1427">
        <v>-2</v>
      </c>
      <c r="F3953" s="583">
        <v>4.4999999999999998E-2</v>
      </c>
      <c r="G3953" s="1428">
        <f t="shared" si="157"/>
        <v>-2</v>
      </c>
      <c r="H3953" s="1366" t="s">
        <v>1646</v>
      </c>
      <c r="I3953" s="1402" t="s">
        <v>3293</v>
      </c>
      <c r="J3953" s="1428">
        <v>1.62</v>
      </c>
      <c r="K3953" s="1428">
        <v>2</v>
      </c>
      <c r="L3953" s="1426">
        <f>INT(base[[#This Row],[Data de liquidação]])</f>
        <v>46263</v>
      </c>
      <c r="M3953" s="1428">
        <f>base[[#This Row],[L/P Bruto]]-base[[#This Row],[L/P Líquido]]</f>
        <v>0</v>
      </c>
      <c r="N3953" s="1428">
        <f>base[[#This Row],[L/P Líquido]]/base[[#This Row],[Stake/Responsabilidade]]</f>
        <v>-1</v>
      </c>
      <c r="O3953" s="1430">
        <f>IF(base[[#This Row],[L/P Líquido]]&gt;0,1,0)</f>
        <v>0</v>
      </c>
      <c r="P3953" s="1430"/>
      <c r="Q3953" s="1430" t="str">
        <f>LEFT(base[[#This Row],[Evento / Mercado]],FIND("vs",base[[#This Row],[Evento / Mercado]])-2)</f>
        <v>Alianza Lima</v>
      </c>
      <c r="R3953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30" t="str">
        <f>LEFT(base[[#This Row],[Evento / Mercado]],FIND("/",base[[#This Row],[Evento / Mercado]])-2)</f>
        <v>Alianza Lima vs Deportivo Garcilaso</v>
      </c>
      <c r="T3953" s="1431">
        <f>base[[#This Row],[Data de liquidação]]</f>
        <v>46263.978275462963</v>
      </c>
    </row>
    <row r="3954" spans="2:22" ht="15" customHeight="1" x14ac:dyDescent="0.25">
      <c r="B3954" s="1425" t="s">
        <v>4661</v>
      </c>
      <c r="C3954" s="859" t="s">
        <v>3512</v>
      </c>
      <c r="D3954" s="1426">
        <v>46263.98605324074</v>
      </c>
      <c r="E3954" s="1427">
        <v>46.4</v>
      </c>
      <c r="F3954" s="583">
        <v>4.4999999999999998E-2</v>
      </c>
      <c r="G3954" s="1428">
        <f t="shared" si="157"/>
        <v>48.586387434554972</v>
      </c>
      <c r="H3954" s="1428" t="s">
        <v>3231</v>
      </c>
      <c r="I3954" s="1429" t="s">
        <v>626</v>
      </c>
      <c r="J3954" s="1428">
        <f>(9.8*29.3+9.82*399.14)/base[[#This Row],[Stake/Responsabilidade]]</f>
        <v>9.8186322472224816</v>
      </c>
      <c r="K3954" s="1428">
        <f>399.14+29.3</f>
        <v>428.44</v>
      </c>
      <c r="L3954" s="1426">
        <f>INT(base[[#This Row],[Data de liquidação]])</f>
        <v>46263</v>
      </c>
      <c r="M3954" s="1428">
        <f>base[[#This Row],[L/P Bruto]]-base[[#This Row],[L/P Líquido]]</f>
        <v>2.1863874345549732</v>
      </c>
      <c r="N3954" s="1428">
        <f>base[[#This Row],[L/P Líquido]]/base[[#This Row],[Stake/Responsabilidade]]</f>
        <v>0.10829987862944636</v>
      </c>
      <c r="O3954" s="1430">
        <f>IF(base[[#This Row],[L/P Líquido]]&gt;0,1,0)</f>
        <v>1</v>
      </c>
      <c r="P3954" s="1430"/>
      <c r="Q3954" s="1430" t="str">
        <f>LEFT(base[[#This Row],[Evento / Mercado]],FIND("vs",base[[#This Row],[Evento / Mercado]])-2)</f>
        <v>Houston Dynamo</v>
      </c>
      <c r="R3954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30" t="str">
        <f>LEFT(base[[#This Row],[Evento / Mercado]],FIND("/",base[[#This Row],[Evento / Mercado]])-2)</f>
        <v>Houston Dynamo vs San Jose Earthquakes</v>
      </c>
      <c r="T3954" s="1431">
        <f>base[[#This Row],[Data de liquidação]]</f>
        <v>46263.98605324074</v>
      </c>
    </row>
    <row r="3955" spans="2:22" ht="15" customHeight="1" x14ac:dyDescent="0.25">
      <c r="B3955" s="1425" t="s">
        <v>4660</v>
      </c>
      <c r="C3955" s="859" t="s">
        <v>3512</v>
      </c>
      <c r="D3955" s="1426">
        <v>46263.986226851855</v>
      </c>
      <c r="E3955" s="1427">
        <v>31.59</v>
      </c>
      <c r="F3955" s="583">
        <v>4.4999999999999998E-2</v>
      </c>
      <c r="G3955" s="1428">
        <f t="shared" si="157"/>
        <v>33.078534031413611</v>
      </c>
      <c r="H3955" s="1428" t="s">
        <v>3231</v>
      </c>
      <c r="I3955" s="1429" t="s">
        <v>626</v>
      </c>
      <c r="J3955" s="1428">
        <v>14</v>
      </c>
      <c r="K3955" s="1428">
        <v>430.04</v>
      </c>
      <c r="L3955" s="1426">
        <f>INT(base[[#This Row],[Data de liquidação]])</f>
        <v>46263</v>
      </c>
      <c r="M3955" s="1428">
        <f>base[[#This Row],[L/P Bruto]]-base[[#This Row],[L/P Líquido]]</f>
        <v>1.4885340314136108</v>
      </c>
      <c r="N3955" s="1428">
        <f>base[[#This Row],[L/P Líquido]]/base[[#This Row],[Stake/Responsabilidade]]</f>
        <v>7.3458282950423212E-2</v>
      </c>
      <c r="O3955" s="1430">
        <f>IF(base[[#This Row],[L/P Líquido]]&gt;0,1,0)</f>
        <v>1</v>
      </c>
      <c r="P3955" s="1430"/>
      <c r="Q3955" s="1430" t="str">
        <f>LEFT(base[[#This Row],[Evento / Mercado]],FIND("vs",base[[#This Row],[Evento / Mercado]])-2)</f>
        <v>Nashville Soccer Club</v>
      </c>
      <c r="R3955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30" t="str">
        <f>LEFT(base[[#This Row],[Evento / Mercado]],FIND("/",base[[#This Row],[Evento / Mercado]])-2)</f>
        <v>Nashville Soccer Club vs FC Cincinnati</v>
      </c>
      <c r="T3955" s="1431">
        <f>base[[#This Row],[Data de liquidação]]</f>
        <v>46263.986226851855</v>
      </c>
    </row>
    <row r="3956" spans="2:22" ht="15" customHeight="1" x14ac:dyDescent="0.25">
      <c r="B3956" s="1425" t="s">
        <v>4659</v>
      </c>
      <c r="C3956" s="859" t="s">
        <v>3512</v>
      </c>
      <c r="D3956" s="1426">
        <v>46264.067847222221</v>
      </c>
      <c r="E3956" s="1427">
        <v>16.05</v>
      </c>
      <c r="F3956" s="583">
        <v>4.4999999999999998E-2</v>
      </c>
      <c r="G3956" s="1428">
        <f t="shared" si="157"/>
        <v>16.806282722513089</v>
      </c>
      <c r="H3956" s="1428" t="s">
        <v>3294</v>
      </c>
      <c r="I3956" s="1429" t="s">
        <v>626</v>
      </c>
      <c r="J3956" s="1428">
        <v>28</v>
      </c>
      <c r="K3956" s="1428">
        <v>453.87</v>
      </c>
      <c r="L3956" s="1426">
        <f>INT(base[[#This Row],[Data de liquidação]])</f>
        <v>46264</v>
      </c>
      <c r="M3956" s="1428">
        <f>base[[#This Row],[L/P Bruto]]-base[[#This Row],[L/P Líquido]]</f>
        <v>0.75628272251308815</v>
      </c>
      <c r="N3956" s="1428">
        <f>base[[#This Row],[L/P Líquido]]/base[[#This Row],[Stake/Responsabilidade]]</f>
        <v>3.5362548747438695E-2</v>
      </c>
      <c r="O3956" s="1430">
        <f>IF(base[[#This Row],[L/P Líquido]]&gt;0,1,0)</f>
        <v>1</v>
      </c>
      <c r="P3956" s="1430"/>
      <c r="Q3956" s="1430" t="str">
        <f>LEFT(base[[#This Row],[Evento / Mercado]],FIND("vs",base[[#This Row],[Evento / Mercado]])-2)</f>
        <v>San Diego FC</v>
      </c>
      <c r="R3956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30" t="str">
        <f>LEFT(base[[#This Row],[Evento / Mercado]],FIND("/",base[[#This Row],[Evento / Mercado]])-2)</f>
        <v>San Diego FC vs Los Angeles Galaxy</v>
      </c>
      <c r="T3956" s="1431">
        <f>base[[#This Row],[Data de liquidação]]</f>
        <v>46264.067847222221</v>
      </c>
    </row>
    <row r="3957" spans="2:22" ht="15" customHeight="1" x14ac:dyDescent="0.25">
      <c r="B3957" s="1425" t="s">
        <v>4658</v>
      </c>
      <c r="C3957" s="859" t="s">
        <v>3512</v>
      </c>
      <c r="D3957" s="1426">
        <v>46264.411481481482</v>
      </c>
      <c r="E3957" s="1427">
        <v>7.59</v>
      </c>
      <c r="F3957" s="583">
        <v>4.4999999999999998E-2</v>
      </c>
      <c r="G3957" s="1428">
        <f t="shared" si="157"/>
        <v>7.9476439790575917</v>
      </c>
      <c r="H3957" s="1366" t="s">
        <v>1646</v>
      </c>
      <c r="I3957" s="1402" t="s">
        <v>2916</v>
      </c>
      <c r="J3957" s="1428">
        <v>9.8000000000000007</v>
      </c>
      <c r="K3957" s="1428">
        <v>69.959999999999994</v>
      </c>
      <c r="L3957" s="1426">
        <f>INT(base[[#This Row],[Data de liquidação]])</f>
        <v>46264</v>
      </c>
      <c r="M3957" s="1428">
        <f>base[[#This Row],[L/P Bruto]]-base[[#This Row],[L/P Líquido]]</f>
        <v>0.35764397905759182</v>
      </c>
      <c r="N3957" s="1428">
        <f>base[[#This Row],[L/P Líquido]]/base[[#This Row],[Stake/Responsabilidade]]</f>
        <v>0.10849056603773585</v>
      </c>
      <c r="O3957" s="1430">
        <f>IF(base[[#This Row],[L/P Líquido]]&gt;0,1,0)</f>
        <v>1</v>
      </c>
      <c r="P3957" s="1430"/>
      <c r="Q3957" s="1430" t="str">
        <f>LEFT(base[[#This Row],[Evento / Mercado]],FIND("vs",base[[#This Row],[Evento / Mercado]])-2)</f>
        <v>Aberdeen</v>
      </c>
      <c r="R3957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30" t="str">
        <f>LEFT(base[[#This Row],[Evento / Mercado]],FIND("/",base[[#This Row],[Evento / Mercado]])-2)</f>
        <v>Aberdeen vs Rangers</v>
      </c>
      <c r="T3957" s="1431">
        <f>base[[#This Row],[Data de liquidação]]</f>
        <v>46264.411481481482</v>
      </c>
    </row>
    <row r="3958" spans="2:22" ht="15" customHeight="1" x14ac:dyDescent="0.25">
      <c r="B3958" s="1425" t="s">
        <v>4657</v>
      </c>
      <c r="C3958" s="859" t="s">
        <v>3512</v>
      </c>
      <c r="D3958" s="1426">
        <v>46264.432916666665</v>
      </c>
      <c r="E3958" s="1427">
        <v>36.82</v>
      </c>
      <c r="F3958" s="583">
        <v>4.4999999999999998E-2</v>
      </c>
      <c r="G3958" s="1428">
        <f t="shared" si="157"/>
        <v>38.554973821989527</v>
      </c>
      <c r="H3958" s="1428" t="s">
        <v>3231</v>
      </c>
      <c r="I3958" s="1429" t="s">
        <v>693</v>
      </c>
      <c r="J3958" s="1428">
        <f>(14*(390+30.03)+17*100)/base[[#This Row],[Stake/Responsabilidade]]</f>
        <v>14.576889794819531</v>
      </c>
      <c r="K3958" s="1428">
        <f>390+100+30.03</f>
        <v>520.03</v>
      </c>
      <c r="L3958" s="1426">
        <f>INT(base[[#This Row],[Data de liquidação]])</f>
        <v>46264</v>
      </c>
      <c r="M3958" s="1428">
        <f>base[[#This Row],[L/P Bruto]]-base[[#This Row],[L/P Líquido]]</f>
        <v>1.7349738219895272</v>
      </c>
      <c r="N3958" s="1428">
        <f>base[[#This Row],[L/P Líquido]]/base[[#This Row],[Stake/Responsabilidade]]</f>
        <v>7.0803607484183614E-2</v>
      </c>
      <c r="O3958" s="1430">
        <f>IF(base[[#This Row],[L/P Líquido]]&gt;0,1,0)</f>
        <v>1</v>
      </c>
      <c r="P3958" s="1430"/>
      <c r="Q3958" s="1430" t="str">
        <f>LEFT(base[[#This Row],[Evento / Mercado]],FIND("vs",base[[#This Row],[Evento / Mercado]])-2)</f>
        <v>KAA Gent</v>
      </c>
      <c r="R3958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30" t="str">
        <f>LEFT(base[[#This Row],[Evento / Mercado]],FIND("/",base[[#This Row],[Evento / Mercado]])-2)</f>
        <v>KAA Gent vs Club Brugge</v>
      </c>
      <c r="T3958" s="1431">
        <f>base[[#This Row],[Data de liquidação]]</f>
        <v>46264.432916666665</v>
      </c>
    </row>
    <row r="3959" spans="2:22" ht="15" customHeight="1" x14ac:dyDescent="0.25">
      <c r="B3959" s="1425" t="s">
        <v>4656</v>
      </c>
      <c r="C3959" s="859" t="s">
        <v>3512</v>
      </c>
      <c r="D3959" s="1426">
        <v>46264.442511574074</v>
      </c>
      <c r="E3959" s="1427">
        <v>0.93</v>
      </c>
      <c r="F3959" s="583">
        <v>4.4999999999999998E-2</v>
      </c>
      <c r="G3959" s="1428">
        <f t="shared" si="157"/>
        <v>0.97382198952879595</v>
      </c>
      <c r="H3959" s="1366" t="s">
        <v>1646</v>
      </c>
      <c r="I3959" s="1402" t="s">
        <v>3293</v>
      </c>
      <c r="J3959" s="1428">
        <v>1.49</v>
      </c>
      <c r="K3959" s="1428">
        <v>2</v>
      </c>
      <c r="L3959" s="1426">
        <f>INT(base[[#This Row],[Data de liquidação]])</f>
        <v>46264</v>
      </c>
      <c r="M3959" s="1428">
        <f>base[[#This Row],[L/P Bruto]]-base[[#This Row],[L/P Líquido]]</f>
        <v>4.3821989528795902E-2</v>
      </c>
      <c r="N3959" s="1428">
        <f>base[[#This Row],[L/P Líquido]]/base[[#This Row],[Stake/Responsabilidade]]</f>
        <v>0.46500000000000002</v>
      </c>
      <c r="O3959" s="1430">
        <f>IF(base[[#This Row],[L/P Líquido]]&gt;0,1,0)</f>
        <v>1</v>
      </c>
      <c r="P3959" s="1430"/>
      <c r="Q3959" s="1430" t="str">
        <f>LEFT(base[[#This Row],[Evento / Mercado]],FIND("vs",base[[#This Row],[Evento / Mercado]])-2)</f>
        <v>FC Sion</v>
      </c>
      <c r="R3959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30" t="str">
        <f>LEFT(base[[#This Row],[Evento / Mercado]],FIND("/",base[[#This Row],[Evento / Mercado]])-2)</f>
        <v>FC Sion vs FC Lugano</v>
      </c>
      <c r="T3959" s="1431">
        <f>base[[#This Row],[Data de liquidação]]</f>
        <v>46264.442511574074</v>
      </c>
    </row>
    <row r="3960" spans="2:22" ht="15" customHeight="1" x14ac:dyDescent="0.25">
      <c r="B3960" s="1425" t="s">
        <v>4655</v>
      </c>
      <c r="C3960" s="859" t="s">
        <v>3512</v>
      </c>
      <c r="D3960" s="1426">
        <v>46264.451284722221</v>
      </c>
      <c r="E3960" s="1427">
        <v>8.36</v>
      </c>
      <c r="F3960" s="583">
        <v>4.4999999999999998E-2</v>
      </c>
      <c r="G3960" s="1428">
        <f t="shared" si="157"/>
        <v>8.7539267015706805</v>
      </c>
      <c r="H3960" s="1366" t="s">
        <v>1646</v>
      </c>
      <c r="I3960" s="1402" t="s">
        <v>2916</v>
      </c>
      <c r="J3960" s="1428">
        <v>9.1999999999999993</v>
      </c>
      <c r="K3960" s="1428">
        <v>71.75</v>
      </c>
      <c r="L3960" s="1426">
        <f>INT(base[[#This Row],[Data de liquidação]])</f>
        <v>46264</v>
      </c>
      <c r="M3960" s="1428">
        <f>base[[#This Row],[L/P Bruto]]-base[[#This Row],[L/P Líquido]]</f>
        <v>0.3939267015706811</v>
      </c>
      <c r="N3960" s="1428">
        <f>base[[#This Row],[L/P Líquido]]/base[[#This Row],[Stake/Responsabilidade]]</f>
        <v>0.11651567944250871</v>
      </c>
      <c r="O3960" s="1430">
        <f>IF(base[[#This Row],[L/P Líquido]]&gt;0,1,0)</f>
        <v>1</v>
      </c>
      <c r="P3960" s="1430"/>
      <c r="Q3960" s="1430" t="str">
        <f>LEFT(base[[#This Row],[Evento / Mercado]],FIND("vs",base[[#This Row],[Evento / Mercado]])-2)</f>
        <v>Aarhus Fremad</v>
      </c>
      <c r="R3960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30" t="str">
        <f>LEFT(base[[#This Row],[Evento / Mercado]],FIND("/",base[[#This Row],[Evento / Mercado]])-2)</f>
        <v>Aarhus Fremad vs Vejle BK</v>
      </c>
      <c r="T3960" s="1431">
        <f>base[[#This Row],[Data de liquidação]]</f>
        <v>46264.451284722221</v>
      </c>
    </row>
    <row r="3961" spans="2:22" ht="15" customHeight="1" x14ac:dyDescent="0.25">
      <c r="B3961" s="1425" t="s">
        <v>4654</v>
      </c>
      <c r="C3961" s="859" t="s">
        <v>3512</v>
      </c>
      <c r="D3961" s="1426">
        <v>46264.453715277778</v>
      </c>
      <c r="E3961" s="1427">
        <v>0.41</v>
      </c>
      <c r="F3961" s="583">
        <v>4.4999999999999998E-2</v>
      </c>
      <c r="G3961" s="1428">
        <f t="shared" si="157"/>
        <v>0.4293193717277487</v>
      </c>
      <c r="H3961" s="1366" t="s">
        <v>1646</v>
      </c>
      <c r="I3961" s="1402" t="s">
        <v>3293</v>
      </c>
      <c r="J3961" s="1428">
        <v>1.21</v>
      </c>
      <c r="K3961" s="1428">
        <v>2</v>
      </c>
      <c r="L3961" s="1426">
        <f>INT(base[[#This Row],[Data de liquidação]])</f>
        <v>46264</v>
      </c>
      <c r="M3961" s="1428">
        <f>base[[#This Row],[L/P Bruto]]-base[[#This Row],[L/P Líquido]]</f>
        <v>1.9319371727748724E-2</v>
      </c>
      <c r="N3961" s="1428">
        <f>base[[#This Row],[L/P Líquido]]/base[[#This Row],[Stake/Responsabilidade]]</f>
        <v>0.20499999999999999</v>
      </c>
      <c r="O3961" s="1430">
        <f>IF(base[[#This Row],[L/P Líquido]]&gt;0,1,0)</f>
        <v>1</v>
      </c>
      <c r="P3961" s="1430"/>
      <c r="Q3961" s="1430" t="str">
        <f>LEFT(base[[#This Row],[Evento / Mercado]],FIND("vs",base[[#This Row],[Evento / Mercado]])-2)</f>
        <v>Feyenoord</v>
      </c>
      <c r="R3961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30" t="str">
        <f>LEFT(base[[#This Row],[Evento / Mercado]],FIND("/",base[[#This Row],[Evento / Mercado]])-2)</f>
        <v>Feyenoord vs ADO Den Haag</v>
      </c>
      <c r="T3961" s="1431">
        <f>base[[#This Row],[Data de liquidação]]</f>
        <v>46264.453715277778</v>
      </c>
    </row>
    <row r="3962" spans="2:22" ht="15" customHeight="1" x14ac:dyDescent="0.25">
      <c r="B3962" s="1425" t="s">
        <v>4653</v>
      </c>
      <c r="C3962" s="859" t="s">
        <v>3512</v>
      </c>
      <c r="D3962" s="1426">
        <v>46264.474699074075</v>
      </c>
      <c r="E3962" s="1427">
        <v>9.16</v>
      </c>
      <c r="F3962" s="583">
        <v>4.4999999999999998E-2</v>
      </c>
      <c r="G3962" s="1428">
        <f t="shared" si="157"/>
        <v>9.5916230366492155</v>
      </c>
      <c r="H3962" s="1428" t="s">
        <v>3294</v>
      </c>
      <c r="I3962" s="1429" t="s">
        <v>626</v>
      </c>
      <c r="J3962" s="1428">
        <v>50</v>
      </c>
      <c r="K3962" s="1428">
        <v>469.91</v>
      </c>
      <c r="L3962" s="1426">
        <f>INT(base[[#This Row],[Data de liquidação]])</f>
        <v>46264</v>
      </c>
      <c r="M3962" s="1428">
        <f>base[[#This Row],[L/P Bruto]]-base[[#This Row],[L/P Líquido]]</f>
        <v>0.43162303664921531</v>
      </c>
      <c r="N3962" s="1428">
        <f>base[[#This Row],[L/P Líquido]]/base[[#This Row],[Stake/Responsabilidade]]</f>
        <v>1.9493094422336193E-2</v>
      </c>
      <c r="O3962" s="1430">
        <f>IF(base[[#This Row],[L/P Líquido]]&gt;0,1,0)</f>
        <v>1</v>
      </c>
      <c r="P3962" s="1430"/>
      <c r="Q3962" s="1430" t="str">
        <f>LEFT(base[[#This Row],[Evento / Mercado]],FIND("vs",base[[#This Row],[Evento / Mercado]])-2)</f>
        <v>Bodø/Glimt</v>
      </c>
      <c r="R3962" s="143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30" t="str">
        <f>LEFT(base[[#This Row],[Evento / Mercado]],FIND("/",base[[#This Row],[Evento / Mercado]])-2)</f>
        <v>Bod</v>
      </c>
      <c r="T3962" s="1431">
        <f>base[[#This Row],[Data de liquidação]]</f>
        <v>46264.474699074075</v>
      </c>
    </row>
    <row r="3963" spans="2:22" ht="15" customHeight="1" x14ac:dyDescent="0.25">
      <c r="B3963" s="1425" t="s">
        <v>4652</v>
      </c>
      <c r="C3963" s="859" t="s">
        <v>3512</v>
      </c>
      <c r="D3963" s="1426">
        <v>46264.475810185184</v>
      </c>
      <c r="E3963" s="1427">
        <v>27.02</v>
      </c>
      <c r="F3963" s="583">
        <v>4.4999999999999998E-2</v>
      </c>
      <c r="G3963" s="1428">
        <f t="shared" si="157"/>
        <v>28.293193717277486</v>
      </c>
      <c r="H3963" s="1428" t="s">
        <v>3367</v>
      </c>
      <c r="I3963" s="1429" t="s">
        <v>391</v>
      </c>
      <c r="J3963" s="1428">
        <v>18.5</v>
      </c>
      <c r="K3963" s="1428">
        <v>495.08</v>
      </c>
      <c r="L3963" s="1426">
        <f>INT(base[[#This Row],[Data de liquidação]])</f>
        <v>46264</v>
      </c>
      <c r="M3963" s="1428">
        <f>base[[#This Row],[L/P Bruto]]-base[[#This Row],[L/P Líquido]]</f>
        <v>1.2731937172774863</v>
      </c>
      <c r="N3963" s="1428">
        <f>base[[#This Row],[L/P Líquido]]/base[[#This Row],[Stake/Responsabilidade]]</f>
        <v>5.4577038054455844E-2</v>
      </c>
      <c r="O3963" s="1430">
        <f>IF(base[[#This Row],[L/P Líquido]]&gt;0,1,0)</f>
        <v>1</v>
      </c>
      <c r="P3963" s="1430" t="s">
        <v>1204</v>
      </c>
      <c r="Q3963" s="1430" t="str">
        <f>LEFT(base[[#This Row],[Evento / Mercado]],FIND("vs",base[[#This Row],[Evento / Mercado]])-2)</f>
        <v>Feyenoord</v>
      </c>
      <c r="R3963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30" t="str">
        <f>LEFT(base[[#This Row],[Evento / Mercado]],FIND("/",base[[#This Row],[Evento / Mercado]])-2)</f>
        <v>Feyenoord vs ADO Den Haag</v>
      </c>
      <c r="T3963" s="1431">
        <f>base[[#This Row],[Data de liquidação]]</f>
        <v>46264.475810185184</v>
      </c>
    </row>
    <row r="3964" spans="2:22" ht="15" customHeight="1" x14ac:dyDescent="0.25">
      <c r="B3964" s="1425" t="s">
        <v>4651</v>
      </c>
      <c r="C3964" s="859" t="s">
        <v>3512</v>
      </c>
      <c r="D3964" s="1426">
        <v>46264.475902777776</v>
      </c>
      <c r="E3964" s="1427">
        <v>19.49155</v>
      </c>
      <c r="F3964" s="583">
        <v>4.4999999999999998E-2</v>
      </c>
      <c r="G3964" s="1428">
        <f t="shared" si="157"/>
        <v>20.41</v>
      </c>
      <c r="H3964" s="1428" t="s">
        <v>3231</v>
      </c>
      <c r="I3964" s="1429" t="s">
        <v>693</v>
      </c>
      <c r="J3964" s="1428">
        <f>(15.5*100.05+8.4*99.97)/base[[#This Row],[Stake/Responsabilidade]]</f>
        <v>11.954408161224185</v>
      </c>
      <c r="K3964" s="1428">
        <v>199.97</v>
      </c>
      <c r="L3964" s="1426">
        <f>INT(base[[#This Row],[Data de liquidação]])</f>
        <v>46264</v>
      </c>
      <c r="M3964" s="1428">
        <f>base[[#This Row],[L/P Bruto]]-base[[#This Row],[L/P Líquido]]</f>
        <v>0.91844999999999999</v>
      </c>
      <c r="N3964" s="1428">
        <f>base[[#This Row],[L/P Líquido]]/base[[#This Row],[Stake/Responsabilidade]]</f>
        <v>9.7472370855628349E-2</v>
      </c>
      <c r="O3964" s="1430">
        <f>IF(base[[#This Row],[L/P Líquido]]&gt;0,1,0)</f>
        <v>1</v>
      </c>
      <c r="P3964" s="1430"/>
      <c r="Q3964" s="1430" t="str">
        <f>LEFT(base[[#This Row],[Evento / Mercado]],FIND("vs",base[[#This Row],[Evento / Mercado]])-2)</f>
        <v>Willem II</v>
      </c>
      <c r="R3964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30" t="str">
        <f>LEFT(base[[#This Row],[Evento / Mercado]],FIND("/",base[[#This Row],[Evento / Mercado]])-2)</f>
        <v>Willem II vs Heerenveen</v>
      </c>
      <c r="T3964" s="1431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 x14ac:dyDescent="0.25">
      <c r="B3965" s="1425" t="s">
        <v>4651</v>
      </c>
      <c r="C3965" s="859" t="s">
        <v>3512</v>
      </c>
      <c r="D3965" s="1426">
        <v>46264.475902777776</v>
      </c>
      <c r="E3965" s="1427">
        <v>8.3562499999999993</v>
      </c>
      <c r="F3965" s="583">
        <v>4.4999999999999998E-2</v>
      </c>
      <c r="G3965" s="1428">
        <f t="shared" ref="G3965" si="159">IF(E3965&gt;0,E3965/(1-F3965),E3965)</f>
        <v>8.75</v>
      </c>
      <c r="H3965" s="1366" t="s">
        <v>1646</v>
      </c>
      <c r="I3965" s="1402" t="s">
        <v>2916</v>
      </c>
      <c r="J3965" s="1428">
        <v>9</v>
      </c>
      <c r="K3965" s="1428">
        <v>70</v>
      </c>
      <c r="L3965" s="1426">
        <f>INT(base[[#This Row],[Data de liquidação]])</f>
        <v>46264</v>
      </c>
      <c r="M3965" s="1428">
        <f>base[[#This Row],[L/P Bruto]]-base[[#This Row],[L/P Líquido]]</f>
        <v>0.39375000000000071</v>
      </c>
      <c r="N3965" s="1428">
        <f>base[[#This Row],[L/P Líquido]]/base[[#This Row],[Stake/Responsabilidade]]</f>
        <v>0.119375</v>
      </c>
      <c r="O3965" s="1430">
        <f>IF(base[[#This Row],[L/P Líquido]]&gt;0,1,0)</f>
        <v>1</v>
      </c>
      <c r="P3965" s="1430"/>
      <c r="Q3965" s="1430" t="str">
        <f>LEFT(base[[#This Row],[Evento / Mercado]],FIND("vs",base[[#This Row],[Evento / Mercado]])-2)</f>
        <v>Willem II</v>
      </c>
      <c r="R3965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30" t="str">
        <f>LEFT(base[[#This Row],[Evento / Mercado]],FIND("/",base[[#This Row],[Evento / Mercado]])-2)</f>
        <v>Willem II vs Heerenveen</v>
      </c>
      <c r="T3965" s="1431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 x14ac:dyDescent="0.25">
      <c r="B3966" s="1425" t="s">
        <v>4650</v>
      </c>
      <c r="C3966" s="859" t="s">
        <v>3512</v>
      </c>
      <c r="D3966" s="1426">
        <v>46264.485509259262</v>
      </c>
      <c r="E3966" s="1427">
        <v>114.6</v>
      </c>
      <c r="F3966" s="583">
        <v>4.4999999999999998E-2</v>
      </c>
      <c r="G3966" s="1428">
        <f t="shared" si="157"/>
        <v>120</v>
      </c>
      <c r="H3966" s="1428" t="s">
        <v>314</v>
      </c>
      <c r="I3966" s="1429" t="s">
        <v>349</v>
      </c>
      <c r="J3966" s="1428">
        <v>2</v>
      </c>
      <c r="K3966" s="1428">
        <v>120</v>
      </c>
      <c r="L3966" s="1426">
        <f>INT(base[[#This Row],[Data de liquidação]])</f>
        <v>46264</v>
      </c>
      <c r="M3966" s="1428">
        <f>base[[#This Row],[L/P Bruto]]-base[[#This Row],[L/P Líquido]]</f>
        <v>5.4000000000000057</v>
      </c>
      <c r="N3966" s="1428">
        <f>base[[#This Row],[L/P Líquido]]/base[[#This Row],[Stake/Responsabilidade]]</f>
        <v>0.95499999999999996</v>
      </c>
      <c r="O3966" s="1430">
        <f>IF(base[[#This Row],[L/P Líquido]]&gt;0,1,0)</f>
        <v>1</v>
      </c>
      <c r="P3966" s="1430"/>
      <c r="Q3966" s="1430" t="str">
        <f>LEFT(base[[#This Row],[Evento / Mercado]],FIND("vs",base[[#This Row],[Evento / Mercado]])-2)</f>
        <v>Athlético Paranaense</v>
      </c>
      <c r="R3966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30" t="str">
        <f>LEFT(base[[#This Row],[Evento / Mercado]],FIND("/",base[[#This Row],[Evento / Mercado]])-2)</f>
        <v>Athlético Paranaense vs Fluminense FC</v>
      </c>
      <c r="T3966" s="1431">
        <f>base[[#This Row],[Data de liquidação]]</f>
        <v>46264.485509259262</v>
      </c>
    </row>
    <row r="3967" spans="2:22" ht="15" customHeight="1" x14ac:dyDescent="0.25">
      <c r="B3967" s="1425" t="s">
        <v>4649</v>
      </c>
      <c r="C3967" s="859" t="s">
        <v>3512</v>
      </c>
      <c r="D3967" s="1426">
        <v>46264.526574074072</v>
      </c>
      <c r="E3967" s="1427">
        <v>0.6</v>
      </c>
      <c r="F3967" s="583">
        <v>4.4999999999999998E-2</v>
      </c>
      <c r="G3967" s="1428">
        <f t="shared" si="157"/>
        <v>0.62827225130890052</v>
      </c>
      <c r="H3967" s="1366" t="s">
        <v>1646</v>
      </c>
      <c r="I3967" s="1402" t="s">
        <v>3293</v>
      </c>
      <c r="J3967" s="1428">
        <v>1.31</v>
      </c>
      <c r="K3967" s="1428">
        <v>2</v>
      </c>
      <c r="L3967" s="1426">
        <f>INT(base[[#This Row],[Data de liquidação]])</f>
        <v>46264</v>
      </c>
      <c r="M3967" s="1428">
        <f>base[[#This Row],[L/P Bruto]]-base[[#This Row],[L/P Líquido]]</f>
        <v>2.8272251308900542E-2</v>
      </c>
      <c r="N3967" s="1428">
        <f>base[[#This Row],[L/P Líquido]]/base[[#This Row],[Stake/Responsabilidade]]</f>
        <v>0.3</v>
      </c>
      <c r="O3967" s="1430">
        <f>IF(base[[#This Row],[L/P Líquido]]&gt;0,1,0)</f>
        <v>1</v>
      </c>
      <c r="P3967" s="1430"/>
      <c r="Q3967" s="1430" t="str">
        <f>LEFT(base[[#This Row],[Evento / Mercado]],FIND("vs",base[[#This Row],[Evento / Mercado]])-2)</f>
        <v>FC St. Gallen</v>
      </c>
      <c r="R3967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30" t="str">
        <f>LEFT(base[[#This Row],[Evento / Mercado]],FIND("/",base[[#This Row],[Evento / Mercado]])-2)</f>
        <v>FC St. Gallen vs FC Thun</v>
      </c>
      <c r="T3967" s="1431">
        <f>base[[#This Row],[Data de liquidação]]</f>
        <v>46264.526574074072</v>
      </c>
    </row>
    <row r="3968" spans="2:22" ht="15" customHeight="1" x14ac:dyDescent="0.25">
      <c r="B3968" s="1425" t="s">
        <v>4648</v>
      </c>
      <c r="C3968" s="859" t="s">
        <v>3512</v>
      </c>
      <c r="D3968" s="1426">
        <v>46264.535763888889</v>
      </c>
      <c r="E3968" s="1427">
        <v>7.59</v>
      </c>
      <c r="F3968" s="583">
        <v>4.4999999999999998E-2</v>
      </c>
      <c r="G3968" s="1428">
        <f t="shared" si="157"/>
        <v>7.9476439790575917</v>
      </c>
      <c r="H3968" s="1366" t="s">
        <v>1646</v>
      </c>
      <c r="I3968" s="1402" t="s">
        <v>2916</v>
      </c>
      <c r="J3968" s="1428">
        <v>9.8000000000000007</v>
      </c>
      <c r="K3968" s="1428">
        <v>69.959999999999994</v>
      </c>
      <c r="L3968" s="1426">
        <f>INT(base[[#This Row],[Data de liquidação]])</f>
        <v>46264</v>
      </c>
      <c r="M3968" s="1428">
        <f>base[[#This Row],[L/P Bruto]]-base[[#This Row],[L/P Líquido]]</f>
        <v>0.35764397905759182</v>
      </c>
      <c r="N3968" s="1428">
        <f>base[[#This Row],[L/P Líquido]]/base[[#This Row],[Stake/Responsabilidade]]</f>
        <v>0.10849056603773585</v>
      </c>
      <c r="O3968" s="1430">
        <f>IF(base[[#This Row],[L/P Líquido]]&gt;0,1,0)</f>
        <v>1</v>
      </c>
      <c r="P3968" s="1430"/>
      <c r="Q3968" s="1430" t="str">
        <f>LEFT(base[[#This Row],[Evento / Mercado]],FIND("vs",base[[#This Row],[Evento / Mercado]])-2)</f>
        <v>Tallinna FC Flora</v>
      </c>
      <c r="R3968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30" t="str">
        <f>LEFT(base[[#This Row],[Evento / Mercado]],FIND("/",base[[#This Row],[Evento / Mercado]])-2)</f>
        <v>Tallinna FC Flora vs Paide Linnameeskond</v>
      </c>
      <c r="T3968" s="1431">
        <f>base[[#This Row],[Data de liquidação]]</f>
        <v>46264.535763888889</v>
      </c>
    </row>
    <row r="3969" spans="2:22" ht="15" customHeight="1" x14ac:dyDescent="0.25">
      <c r="B3969" s="1425" t="s">
        <v>4647</v>
      </c>
      <c r="C3969" s="859" t="s">
        <v>3512</v>
      </c>
      <c r="D3969" s="1426">
        <v>46264.557569444441</v>
      </c>
      <c r="E3969" s="1427">
        <v>45.31</v>
      </c>
      <c r="F3969" s="583">
        <v>4.4999999999999998E-2</v>
      </c>
      <c r="G3969" s="1428">
        <f t="shared" si="157"/>
        <v>47.445026178010473</v>
      </c>
      <c r="H3969" s="1428" t="s">
        <v>3231</v>
      </c>
      <c r="I3969" s="1429" t="s">
        <v>626</v>
      </c>
      <c r="J3969" s="1428">
        <f>(15*99.96+16*100.05+12*370.04)/base[[#This Row],[Stake/Responsabilidade]]</f>
        <v>13.228102798000178</v>
      </c>
      <c r="K3969" s="1428">
        <f>99.96+100.05+370.04</f>
        <v>570.04999999999995</v>
      </c>
      <c r="L3969" s="1426">
        <f>INT(base[[#This Row],[Data de liquidação]])</f>
        <v>46264</v>
      </c>
      <c r="M3969" s="1428">
        <f>base[[#This Row],[L/P Bruto]]-base[[#This Row],[L/P Líquido]]</f>
        <v>2.1350261780104702</v>
      </c>
      <c r="N3969" s="1428">
        <f>base[[#This Row],[L/P Líquido]]/base[[#This Row],[Stake/Responsabilidade]]</f>
        <v>7.9484255767037992E-2</v>
      </c>
      <c r="O3969" s="1430">
        <f>IF(base[[#This Row],[L/P Líquido]]&gt;0,1,0)</f>
        <v>1</v>
      </c>
      <c r="P3969" s="1430"/>
      <c r="Q3969" s="1430" t="str">
        <f>LEFT(base[[#This Row],[Evento / Mercado]],FIND("vs",base[[#This Row],[Evento / Mercado]])-2)</f>
        <v>IFK Göteborg</v>
      </c>
      <c r="R3969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30" t="str">
        <f>LEFT(base[[#This Row],[Evento / Mercado]],FIND("/",base[[#This Row],[Evento / Mercado]])-2)</f>
        <v>IFK Göteborg vs Örgryte IS</v>
      </c>
      <c r="T3969" s="1431">
        <f>base[[#This Row],[Data de liquidação]]</f>
        <v>46264.557569444441</v>
      </c>
    </row>
    <row r="3970" spans="2:22" ht="15" customHeight="1" x14ac:dyDescent="0.25">
      <c r="B3970" s="1425" t="s">
        <v>4646</v>
      </c>
      <c r="C3970" s="859" t="s">
        <v>3512</v>
      </c>
      <c r="D3970" s="1426">
        <v>46264.568368055552</v>
      </c>
      <c r="E3970" s="1427">
        <v>9.93</v>
      </c>
      <c r="F3970" s="583">
        <v>4.4999999999999998E-2</v>
      </c>
      <c r="G3970" s="1428">
        <f t="shared" si="157"/>
        <v>10.397905759162304</v>
      </c>
      <c r="H3970" s="1366" t="s">
        <v>1646</v>
      </c>
      <c r="I3970" s="1429" t="s">
        <v>2274</v>
      </c>
      <c r="J3970" s="1428">
        <v>1.52</v>
      </c>
      <c r="K3970" s="1428">
        <v>20</v>
      </c>
      <c r="L3970" s="1426">
        <f>INT(base[[#This Row],[Data de liquidação]])</f>
        <v>46264</v>
      </c>
      <c r="M3970" s="1428">
        <f>base[[#This Row],[L/P Bruto]]-base[[#This Row],[L/P Líquido]]</f>
        <v>0.46790575916230459</v>
      </c>
      <c r="N3970" s="1428">
        <f>base[[#This Row],[L/P Líquido]]/base[[#This Row],[Stake/Responsabilidade]]</f>
        <v>0.4965</v>
      </c>
      <c r="O3970" s="1430">
        <f>IF(base[[#This Row],[L/P Líquido]]&gt;0,1,0)</f>
        <v>1</v>
      </c>
      <c r="P3970" s="1430"/>
      <c r="Q3970" s="1430" t="str">
        <f>LEFT(base[[#This Row],[Evento / Mercado]],FIND("vs",base[[#This Row],[Evento / Mercado]])-2)</f>
        <v>FK Teplice</v>
      </c>
      <c r="R3970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30" t="str">
        <f>LEFT(base[[#This Row],[Evento / Mercado]],FIND("/",base[[#This Row],[Evento / Mercado]])-2)</f>
        <v>FK Teplice vs FK Jablonec</v>
      </c>
      <c r="T3970" s="1431">
        <f>base[[#This Row],[Data de liquidação]]</f>
        <v>46264.568368055552</v>
      </c>
    </row>
    <row r="3971" spans="2:22" ht="15" customHeight="1" x14ac:dyDescent="0.25">
      <c r="B3971" s="1425" t="s">
        <v>4645</v>
      </c>
      <c r="C3971" s="859" t="s">
        <v>3512</v>
      </c>
      <c r="D3971" s="1426">
        <v>46264.577314814815</v>
      </c>
      <c r="E3971" s="1427">
        <v>8.57</v>
      </c>
      <c r="F3971" s="583">
        <v>4.4999999999999998E-2</v>
      </c>
      <c r="G3971" s="1428">
        <f t="shared" si="157"/>
        <v>8.9738219895287958</v>
      </c>
      <c r="H3971" s="1366" t="s">
        <v>1646</v>
      </c>
      <c r="I3971" s="1402" t="s">
        <v>2916</v>
      </c>
      <c r="J3971" s="1428">
        <v>8.4</v>
      </c>
      <c r="K3971" s="1428">
        <v>66.38</v>
      </c>
      <c r="L3971" s="1426">
        <f>INT(base[[#This Row],[Data de liquidação]])</f>
        <v>46264</v>
      </c>
      <c r="M3971" s="1428">
        <f>base[[#This Row],[L/P Bruto]]-base[[#This Row],[L/P Líquido]]</f>
        <v>0.40382198952879556</v>
      </c>
      <c r="N3971" s="1428">
        <f>base[[#This Row],[L/P Líquido]]/base[[#This Row],[Stake/Responsabilidade]]</f>
        <v>0.12910515215426335</v>
      </c>
      <c r="O3971" s="1430">
        <f>IF(base[[#This Row],[L/P Líquido]]&gt;0,1,0)</f>
        <v>1</v>
      </c>
      <c r="P3971" s="1430"/>
      <c r="Q3971" s="1430" t="str">
        <f>LEFT(base[[#This Row],[Evento / Mercado]],FIND("vs",base[[#This Row],[Evento / Mercado]])-2)</f>
        <v>Sandefjord Fotball</v>
      </c>
      <c r="R3971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30" t="str">
        <f>LEFT(base[[#This Row],[Evento / Mercado]],FIND("/",base[[#This Row],[Evento / Mercado]])-2)</f>
        <v>Sandefjord Fotball vs Brann</v>
      </c>
      <c r="T3971" s="1431">
        <f>base[[#This Row],[Data de liquidação]]</f>
        <v>46264.577314814815</v>
      </c>
    </row>
    <row r="3972" spans="2:22" ht="15" customHeight="1" x14ac:dyDescent="0.25">
      <c r="B3972" s="1425" t="s">
        <v>4644</v>
      </c>
      <c r="C3972" s="859" t="s">
        <v>3512</v>
      </c>
      <c r="D3972" s="1426">
        <v>46264.581354166665</v>
      </c>
      <c r="E3972" s="1427">
        <v>27.32</v>
      </c>
      <c r="F3972" s="583">
        <v>4.4999999999999998E-2</v>
      </c>
      <c r="G3972" s="1428">
        <f t="shared" si="157"/>
        <v>28.607329842931939</v>
      </c>
      <c r="H3972" s="1428" t="s">
        <v>150</v>
      </c>
      <c r="I3972" s="1429" t="s">
        <v>627</v>
      </c>
      <c r="J3972" s="1428">
        <v>19</v>
      </c>
      <c r="K3972" s="1428">
        <v>514.98</v>
      </c>
      <c r="L3972" s="1426">
        <f>INT(base[[#This Row],[Data de liquidação]])</f>
        <v>46264</v>
      </c>
      <c r="M3972" s="1428">
        <f>base[[#This Row],[L/P Bruto]]-base[[#This Row],[L/P Líquido]]</f>
        <v>1.2873298429319391</v>
      </c>
      <c r="N3972" s="1428">
        <f>base[[#This Row],[L/P Líquido]]/base[[#This Row],[Stake/Responsabilidade]]</f>
        <v>5.3050603906947838E-2</v>
      </c>
      <c r="O3972" s="1430">
        <f>IF(base[[#This Row],[L/P Líquido]]&gt;0,1,0)</f>
        <v>1</v>
      </c>
      <c r="P3972" s="1430"/>
      <c r="Q3972" s="1430" t="str">
        <f>LEFT(base[[#This Row],[Evento / Mercado]],FIND("vs",base[[#This Row],[Evento / Mercado]])-2)</f>
        <v>Real Madrid</v>
      </c>
      <c r="R3972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30" t="str">
        <f>LEFT(base[[#This Row],[Evento / Mercado]],FIND("/",base[[#This Row],[Evento / Mercado]])-2)</f>
        <v>Real Madrid vs Málaga</v>
      </c>
      <c r="T3972" s="1431">
        <f>base[[#This Row],[Data de liquidação]]</f>
        <v>46264.581354166665</v>
      </c>
    </row>
    <row r="3973" spans="2:22" ht="15" customHeight="1" x14ac:dyDescent="0.25">
      <c r="B3973" s="1425" t="s">
        <v>4643</v>
      </c>
      <c r="C3973" s="859" t="s">
        <v>3512</v>
      </c>
      <c r="D3973" s="1426">
        <v>46264.581423611111</v>
      </c>
      <c r="E3973" s="1427">
        <v>6.2</v>
      </c>
      <c r="F3973" s="583">
        <v>4.4999999999999998E-2</v>
      </c>
      <c r="G3973" s="1428">
        <f t="shared" si="157"/>
        <v>6.4921465968586389</v>
      </c>
      <c r="H3973" s="1428" t="s">
        <v>3294</v>
      </c>
      <c r="I3973" s="1429" t="s">
        <v>626</v>
      </c>
      <c r="J3973" s="1428">
        <v>75</v>
      </c>
      <c r="K3973" s="1428">
        <v>480.26</v>
      </c>
      <c r="L3973" s="1426">
        <f>INT(base[[#This Row],[Data de liquidação]])</f>
        <v>46264</v>
      </c>
      <c r="M3973" s="1428">
        <f>base[[#This Row],[L/P Bruto]]-base[[#This Row],[L/P Líquido]]</f>
        <v>0.29214659685863875</v>
      </c>
      <c r="N3973" s="1428">
        <f>base[[#This Row],[L/P Líquido]]/base[[#This Row],[Stake/Responsabilidade]]</f>
        <v>1.290967392662308E-2</v>
      </c>
      <c r="O3973" s="1430">
        <f>IF(base[[#This Row],[L/P Líquido]]&gt;0,1,0)</f>
        <v>1</v>
      </c>
      <c r="P3973" s="1430"/>
      <c r="Q3973" s="1430" t="str">
        <f>LEFT(base[[#This Row],[Evento / Mercado]],FIND("vs",base[[#This Row],[Evento / Mercado]])-2)</f>
        <v>Viking FK</v>
      </c>
      <c r="R3973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30" t="str">
        <f>LEFT(base[[#This Row],[Evento / Mercado]],FIND("/",base[[#This Row],[Evento / Mercado]])-2)</f>
        <v>Viking FK vs Aalesunds FK</v>
      </c>
      <c r="T3973" s="1431">
        <f>base[[#This Row],[Data de liquidação]]</f>
        <v>46264.581423611111</v>
      </c>
    </row>
    <row r="3974" spans="2:22" ht="15" customHeight="1" x14ac:dyDescent="0.25">
      <c r="B3974" s="1425" t="s">
        <v>4642</v>
      </c>
      <c r="C3974" s="859" t="s">
        <v>3512</v>
      </c>
      <c r="D3974" s="1426">
        <v>46264.581516203703</v>
      </c>
      <c r="E3974" s="1427">
        <v>21.554349999999999</v>
      </c>
      <c r="F3974" s="583">
        <v>4.4999999999999998E-2</v>
      </c>
      <c r="G3974" s="1428">
        <f t="shared" si="157"/>
        <v>22.57</v>
      </c>
      <c r="H3974" s="1428" t="s">
        <v>3294</v>
      </c>
      <c r="I3974" s="1429" t="s">
        <v>626</v>
      </c>
      <c r="J3974" s="1428">
        <v>22</v>
      </c>
      <c r="K3974" s="1428">
        <v>473.88</v>
      </c>
      <c r="L3974" s="1426">
        <f>INT(base[[#This Row],[Data de liquidação]])</f>
        <v>46264</v>
      </c>
      <c r="M3974" s="1428">
        <f>base[[#This Row],[L/P Bruto]]-base[[#This Row],[L/P Líquido]]</f>
        <v>1.0156500000000008</v>
      </c>
      <c r="N3974" s="1428">
        <f>base[[#This Row],[L/P Líquido]]/base[[#This Row],[Stake/Responsabilidade]]</f>
        <v>4.5484827382459694E-2</v>
      </c>
      <c r="O3974" s="1430">
        <f>IF(base[[#This Row],[L/P Líquido]]&gt;0,1,0)</f>
        <v>1</v>
      </c>
      <c r="P3974" s="1430"/>
      <c r="Q3974" s="1430" t="str">
        <f>LEFT(base[[#This Row],[Evento / Mercado]],FIND("vs",base[[#This Row],[Evento / Mercado]])-2)</f>
        <v>Tromsø</v>
      </c>
      <c r="R3974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30" t="str">
        <f>LEFT(base[[#This Row],[Evento / Mercado]],FIND("/",base[[#This Row],[Evento / Mercado]])-2)</f>
        <v>Tromsø vs Sarpsborg 08</v>
      </c>
      <c r="T3974" s="1431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 x14ac:dyDescent="0.25">
      <c r="B3975" s="1425" t="s">
        <v>4642</v>
      </c>
      <c r="C3975" s="859" t="s">
        <v>3512</v>
      </c>
      <c r="D3975" s="1426">
        <v>46264.581516203703</v>
      </c>
      <c r="E3975" s="1427">
        <v>44.417049999999996</v>
      </c>
      <c r="F3975" s="583">
        <v>4.4999999999999998E-2</v>
      </c>
      <c r="G3975" s="1428">
        <f t="shared" ref="G3975" si="161">IF(E3975&gt;0,E3975/(1-F3975),E3975)</f>
        <v>46.51</v>
      </c>
      <c r="H3975" s="1428" t="s">
        <v>3231</v>
      </c>
      <c r="I3975" s="1429" t="s">
        <v>626</v>
      </c>
      <c r="J3975" s="1428">
        <v>9.6</v>
      </c>
      <c r="K3975" s="1428">
        <v>399.99</v>
      </c>
      <c r="L3975" s="1426">
        <f>INT(base[[#This Row],[Data de liquidação]])</f>
        <v>46264</v>
      </c>
      <c r="M3975" s="1428">
        <f>base[[#This Row],[L/P Bruto]]-base[[#This Row],[L/P Líquido]]</f>
        <v>2.0929500000000019</v>
      </c>
      <c r="N3975" s="1428">
        <f>base[[#This Row],[L/P Líquido]]/base[[#This Row],[Stake/Responsabilidade]]</f>
        <v>0.11104540113502837</v>
      </c>
      <c r="O3975" s="1430">
        <f>IF(base[[#This Row],[L/P Líquido]]&gt;0,1,0)</f>
        <v>1</v>
      </c>
      <c r="P3975" s="1430"/>
      <c r="Q3975" s="1430" t="str">
        <f>LEFT(base[[#This Row],[Evento / Mercado]],FIND("vs",base[[#This Row],[Evento / Mercado]])-2)</f>
        <v>Tromsø</v>
      </c>
      <c r="R3975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30" t="str">
        <f>LEFT(base[[#This Row],[Evento / Mercado]],FIND("/",base[[#This Row],[Evento / Mercado]])-2)</f>
        <v>Tromsø vs Sarpsborg 08</v>
      </c>
      <c r="T3975" s="1431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 x14ac:dyDescent="0.25">
      <c r="B3976" s="1425" t="s">
        <v>4641</v>
      </c>
      <c r="C3976" s="859" t="s">
        <v>3512</v>
      </c>
      <c r="D3976" s="1426">
        <v>46264.58153935185</v>
      </c>
      <c r="E3976" s="1427">
        <v>59.69</v>
      </c>
      <c r="F3976" s="583">
        <v>4.4999999999999998E-2</v>
      </c>
      <c r="G3976" s="1428">
        <f t="shared" si="157"/>
        <v>62.502617801047123</v>
      </c>
      <c r="H3976" s="1428" t="s">
        <v>3367</v>
      </c>
      <c r="I3976" s="1429" t="s">
        <v>391</v>
      </c>
      <c r="J3976" s="1428">
        <v>9.8000000000000007</v>
      </c>
      <c r="K3976" s="1428">
        <v>550</v>
      </c>
      <c r="L3976" s="1426">
        <f>INT(base[[#This Row],[Data de liquidação]])</f>
        <v>46264</v>
      </c>
      <c r="M3976" s="1428">
        <f>base[[#This Row],[L/P Bruto]]-base[[#This Row],[L/P Líquido]]</f>
        <v>2.812617801047125</v>
      </c>
      <c r="N3976" s="1428">
        <f>base[[#This Row],[L/P Líquido]]/base[[#This Row],[Stake/Responsabilidade]]</f>
        <v>0.10852727272727272</v>
      </c>
      <c r="O3976" s="1430">
        <f>IF(base[[#This Row],[L/P Líquido]]&gt;0,1,0)</f>
        <v>1</v>
      </c>
      <c r="P3976" s="1430" t="s">
        <v>2008</v>
      </c>
      <c r="Q3976" s="1430" t="str">
        <f>LEFT(base[[#This Row],[Evento / Mercado]],FIND("vs",base[[#This Row],[Evento / Mercado]])-2)</f>
        <v>Viking FK</v>
      </c>
      <c r="R3976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30" t="str">
        <f>LEFT(base[[#This Row],[Evento / Mercado]],FIND("/",base[[#This Row],[Evento / Mercado]])-2)</f>
        <v>Viking FK vs Aalesunds FK</v>
      </c>
      <c r="T3976" s="1431">
        <f>base[[#This Row],[Data de liquidação]]</f>
        <v>46264.58153935185</v>
      </c>
    </row>
    <row r="3977" spans="2:22" ht="15" customHeight="1" x14ac:dyDescent="0.25">
      <c r="B3977" s="1425" t="s">
        <v>4640</v>
      </c>
      <c r="C3977" s="859" t="s">
        <v>3512</v>
      </c>
      <c r="D3977" s="1426">
        <v>46264.581550925926</v>
      </c>
      <c r="E3977" s="1427">
        <v>27.28</v>
      </c>
      <c r="F3977" s="583">
        <v>4.4999999999999998E-2</v>
      </c>
      <c r="G3977" s="1428">
        <f t="shared" si="157"/>
        <v>28.565445026178011</v>
      </c>
      <c r="H3977" s="1428" t="s">
        <v>3367</v>
      </c>
      <c r="I3977" s="1429" t="s">
        <v>4667</v>
      </c>
      <c r="J3977" s="1428">
        <v>15</v>
      </c>
      <c r="K3977" s="1428">
        <v>399.98</v>
      </c>
      <c r="L3977" s="1426">
        <f>INT(base[[#This Row],[Data de liquidação]])</f>
        <v>46264</v>
      </c>
      <c r="M3977" s="1428">
        <f>base[[#This Row],[L/P Bruto]]-base[[#This Row],[L/P Líquido]]</f>
        <v>1.2854450261780102</v>
      </c>
      <c r="N3977" s="1428">
        <f>base[[#This Row],[L/P Líquido]]/base[[#This Row],[Stake/Responsabilidade]]</f>
        <v>6.820341017050853E-2</v>
      </c>
      <c r="O3977" s="1430">
        <f>IF(base[[#This Row],[L/P Líquido]]&gt;0,1,0)</f>
        <v>1</v>
      </c>
      <c r="P3977" s="1430" t="s">
        <v>1201</v>
      </c>
      <c r="Q3977" s="1430" t="str">
        <f>LEFT(base[[#This Row],[Evento / Mercado]],FIND("vs",base[[#This Row],[Evento / Mercado]])-2)</f>
        <v>Real Madrid</v>
      </c>
      <c r="R3977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30" t="str">
        <f>LEFT(base[[#This Row],[Evento / Mercado]],FIND("/",base[[#This Row],[Evento / Mercado]])-2)</f>
        <v>Real Madrid vs Málaga</v>
      </c>
      <c r="T3977" s="1431">
        <f>base[[#This Row],[Data de liquidação]]</f>
        <v>46264.581550925926</v>
      </c>
    </row>
    <row r="3978" spans="2:22" ht="15" customHeight="1" x14ac:dyDescent="0.25">
      <c r="B3978" s="1425" t="s">
        <v>4639</v>
      </c>
      <c r="C3978" s="859" t="s">
        <v>3512</v>
      </c>
      <c r="D3978" s="1426">
        <v>46264.661412037036</v>
      </c>
      <c r="E3978" s="1427">
        <v>8.09</v>
      </c>
      <c r="F3978" s="583">
        <v>4.4999999999999998E-2</v>
      </c>
      <c r="G3978" s="1428">
        <f t="shared" si="157"/>
        <v>8.4712041884816749</v>
      </c>
      <c r="H3978" s="1428" t="s">
        <v>3294</v>
      </c>
      <c r="I3978" s="1429" t="s">
        <v>626</v>
      </c>
      <c r="J3978" s="1428">
        <v>60</v>
      </c>
      <c r="K3978" s="1428">
        <v>499.73</v>
      </c>
      <c r="L3978" s="1426">
        <f>INT(base[[#This Row],[Data de liquidação]])</f>
        <v>46264</v>
      </c>
      <c r="M3978" s="1428">
        <f>base[[#This Row],[L/P Bruto]]-base[[#This Row],[L/P Líquido]]</f>
        <v>0.38120418848167503</v>
      </c>
      <c r="N3978" s="1428">
        <f>base[[#This Row],[L/P Líquido]]/base[[#This Row],[Stake/Responsabilidade]]</f>
        <v>1.6188741920637142E-2</v>
      </c>
      <c r="O3978" s="1430">
        <f>IF(base[[#This Row],[L/P Líquido]]&gt;0,1,0)</f>
        <v>1</v>
      </c>
      <c r="P3978" s="1430"/>
      <c r="Q3978" s="1430" t="str">
        <f>LEFT(base[[#This Row],[Evento / Mercado]],FIND("vs",base[[#This Row],[Evento / Mercado]])-2)</f>
        <v>Fram Reykjavik</v>
      </c>
      <c r="R3978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30" t="str">
        <f>LEFT(base[[#This Row],[Evento / Mercado]],FIND("/",base[[#This Row],[Evento / Mercado]])-2)</f>
        <v>Fram Reykjavik vs KA Akureyrar</v>
      </c>
      <c r="T3978" s="1431">
        <f>base[[#This Row],[Data de liquidação]]</f>
        <v>46264.661412037036</v>
      </c>
    </row>
    <row r="3979" spans="2:22" ht="15" customHeight="1" x14ac:dyDescent="0.25">
      <c r="B3979" s="1425" t="s">
        <v>4638</v>
      </c>
      <c r="C3979" s="859" t="s">
        <v>3512</v>
      </c>
      <c r="D3979" s="1426">
        <v>46264.747384259259</v>
      </c>
      <c r="E3979" s="1427">
        <v>12.44</v>
      </c>
      <c r="F3979" s="583">
        <v>4.4999999999999998E-2</v>
      </c>
      <c r="G3979" s="1428">
        <f t="shared" si="157"/>
        <v>13.026178010471204</v>
      </c>
      <c r="H3979" s="1428" t="s">
        <v>3294</v>
      </c>
      <c r="I3979" s="1429" t="s">
        <v>626</v>
      </c>
      <c r="J3979" s="1428">
        <v>40</v>
      </c>
      <c r="K3979" s="1428">
        <v>508.17</v>
      </c>
      <c r="L3979" s="1426">
        <f>INT(base[[#This Row],[Data de liquidação]])</f>
        <v>46264</v>
      </c>
      <c r="M3979" s="1428">
        <f>base[[#This Row],[L/P Bruto]]-base[[#This Row],[L/P Líquido]]</f>
        <v>0.58617801047120466</v>
      </c>
      <c r="N3979" s="1428">
        <f>base[[#This Row],[L/P Líquido]]/base[[#This Row],[Stake/Responsabilidade]]</f>
        <v>2.4479996851447347E-2</v>
      </c>
      <c r="O3979" s="1430">
        <f>IF(base[[#This Row],[L/P Líquido]]&gt;0,1,0)</f>
        <v>1</v>
      </c>
      <c r="P3979" s="1430"/>
      <c r="Q3979" s="1430" t="str">
        <f>LEFT(base[[#This Row],[Evento / Mercado]],FIND("vs",base[[#This Row],[Evento / Mercado]])-2)</f>
        <v>Flamengo</v>
      </c>
      <c r="R3979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30" t="str">
        <f>LEFT(base[[#This Row],[Evento / Mercado]],FIND("/",base[[#This Row],[Evento / Mercado]])-2)</f>
        <v>Flamengo vs Botafogo FR</v>
      </c>
      <c r="T3979" s="1431">
        <f>base[[#This Row],[Data de liquidação]]</f>
        <v>46264.747384259259</v>
      </c>
    </row>
    <row r="3980" spans="2:22" ht="15" customHeight="1" x14ac:dyDescent="0.25">
      <c r="B3980" s="1425" t="s">
        <v>4637</v>
      </c>
      <c r="C3980" s="859" t="s">
        <v>3512</v>
      </c>
      <c r="D3980" s="1426">
        <v>46264.763865740744</v>
      </c>
      <c r="E3980" s="1427">
        <v>-20</v>
      </c>
      <c r="F3980" s="583">
        <v>4.4999999999999998E-2</v>
      </c>
      <c r="G3980" s="1428">
        <f t="shared" si="157"/>
        <v>-20</v>
      </c>
      <c r="H3980" s="1366" t="s">
        <v>1646</v>
      </c>
      <c r="I3980" s="1429" t="s">
        <v>2274</v>
      </c>
      <c r="J3980" s="1428">
        <v>1.51</v>
      </c>
      <c r="K3980" s="1428">
        <v>20</v>
      </c>
      <c r="L3980" s="1426">
        <f>INT(base[[#This Row],[Data de liquidação]])</f>
        <v>46264</v>
      </c>
      <c r="M3980" s="1428">
        <f>base[[#This Row],[L/P Bruto]]-base[[#This Row],[L/P Líquido]]</f>
        <v>0</v>
      </c>
      <c r="N3980" s="1428">
        <f>base[[#This Row],[L/P Líquido]]/base[[#This Row],[Stake/Responsabilidade]]</f>
        <v>-1</v>
      </c>
      <c r="O3980" s="1430">
        <f>IF(base[[#This Row],[L/P Líquido]]&gt;0,1,0)</f>
        <v>0</v>
      </c>
      <c r="P3980" s="1430"/>
      <c r="Q3980" s="1430" t="str">
        <f>LEFT(base[[#This Row],[Evento / Mercado]],FIND("vs",base[[#This Row],[Evento / Mercado]])-2)</f>
        <v>Famalicão</v>
      </c>
      <c r="R3980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30" t="str">
        <f>LEFT(base[[#This Row],[Evento / Mercado]],FIND("/",base[[#This Row],[Evento / Mercado]])-2)</f>
        <v>Famalicão vs Gil Vicente</v>
      </c>
      <c r="T3980" s="1431">
        <f>base[[#This Row],[Data de liquidação]]</f>
        <v>46264.763865740744</v>
      </c>
    </row>
    <row r="3981" spans="2:22" ht="15" customHeight="1" x14ac:dyDescent="0.25">
      <c r="B3981" s="1425" t="s">
        <v>4636</v>
      </c>
      <c r="C3981" s="859" t="s">
        <v>3512</v>
      </c>
      <c r="D3981" s="1426">
        <v>46264.767187500001</v>
      </c>
      <c r="E3981" s="1427">
        <v>1.18</v>
      </c>
      <c r="F3981" s="583">
        <v>4.4999999999999998E-2</v>
      </c>
      <c r="G3981" s="1428">
        <f t="shared" si="157"/>
        <v>1.2356020942408377</v>
      </c>
      <c r="H3981" s="1366" t="s">
        <v>1646</v>
      </c>
      <c r="I3981" s="1402" t="s">
        <v>3293</v>
      </c>
      <c r="J3981" s="1428">
        <v>1.62</v>
      </c>
      <c r="K3981" s="1428">
        <v>2</v>
      </c>
      <c r="L3981" s="1426">
        <f>INT(base[[#This Row],[Data de liquidação]])</f>
        <v>46264</v>
      </c>
      <c r="M3981" s="1428">
        <f>base[[#This Row],[L/P Bruto]]-base[[#This Row],[L/P Líquido]]</f>
        <v>5.5602094240837729E-2</v>
      </c>
      <c r="N3981" s="1428">
        <f>base[[#This Row],[L/P Líquido]]/base[[#This Row],[Stake/Responsabilidade]]</f>
        <v>0.59</v>
      </c>
      <c r="O3981" s="1430">
        <f>IF(base[[#This Row],[L/P Líquido]]&gt;0,1,0)</f>
        <v>1</v>
      </c>
      <c r="P3981" s="1430"/>
      <c r="Q3981" s="1430" t="str">
        <f>LEFT(base[[#This Row],[Evento / Mercado]],FIND("vs",base[[#This Row],[Evento / Mercado]])-2)</f>
        <v>Argentinos Juniors</v>
      </c>
      <c r="R3981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30" t="str">
        <f>LEFT(base[[#This Row],[Evento / Mercado]],FIND("/",base[[#This Row],[Evento / Mercado]])-2)</f>
        <v>Argentinos Juniors vs Aldosivi</v>
      </c>
      <c r="T3981" s="1431">
        <f>base[[#This Row],[Data de liquidação]]</f>
        <v>46264.767187500001</v>
      </c>
    </row>
    <row r="3982" spans="2:22" ht="15" customHeight="1" x14ac:dyDescent="0.25">
      <c r="B3982" s="1425" t="s">
        <v>4635</v>
      </c>
      <c r="C3982" s="859" t="s">
        <v>3512</v>
      </c>
      <c r="D3982" s="1426">
        <v>46264.849479166667</v>
      </c>
      <c r="E3982" s="1427">
        <v>-2</v>
      </c>
      <c r="F3982" s="583">
        <v>4.4999999999999998E-2</v>
      </c>
      <c r="G3982" s="1428">
        <f t="shared" si="157"/>
        <v>-2</v>
      </c>
      <c r="H3982" s="1366" t="s">
        <v>1646</v>
      </c>
      <c r="I3982" s="1402" t="s">
        <v>3293</v>
      </c>
      <c r="J3982" s="1428">
        <v>1.77</v>
      </c>
      <c r="K3982" s="1428">
        <v>2</v>
      </c>
      <c r="L3982" s="1426">
        <f>INT(base[[#This Row],[Data de liquidação]])</f>
        <v>46264</v>
      </c>
      <c r="M3982" s="1428">
        <f>base[[#This Row],[L/P Bruto]]-base[[#This Row],[L/P Líquido]]</f>
        <v>0</v>
      </c>
      <c r="N3982" s="1428">
        <f>base[[#This Row],[L/P Líquido]]/base[[#This Row],[Stake/Responsabilidade]]</f>
        <v>-1</v>
      </c>
      <c r="O3982" s="1430">
        <f>IF(base[[#This Row],[L/P Líquido]]&gt;0,1,0)</f>
        <v>0</v>
      </c>
      <c r="P3982" s="1430"/>
      <c r="Q3982" s="1430" t="str">
        <f>LEFT(base[[#This Row],[Evento / Mercado]],FIND("vs",base[[#This Row],[Evento / Mercado]])-2)</f>
        <v>Club Guaraní</v>
      </c>
      <c r="R3982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30" t="str">
        <f>LEFT(base[[#This Row],[Evento / Mercado]],FIND("/",base[[#This Row],[Evento / Mercado]])-2)</f>
        <v>Club Guaraní vs Club Sportivo Ameliano</v>
      </c>
      <c r="T3982" s="1431">
        <f>base[[#This Row],[Data de liquidação]]</f>
        <v>46264.849479166667</v>
      </c>
    </row>
    <row r="3983" spans="2:22" ht="15" customHeight="1" x14ac:dyDescent="0.25">
      <c r="B3983" s="1425" t="s">
        <v>4634</v>
      </c>
      <c r="C3983" s="859" t="s">
        <v>3512</v>
      </c>
      <c r="D3983" s="1426">
        <v>46264.855532407404</v>
      </c>
      <c r="E3983" s="1427">
        <v>41.38</v>
      </c>
      <c r="F3983" s="583">
        <v>4.4999999999999998E-2</v>
      </c>
      <c r="G3983" s="1428">
        <f t="shared" si="157"/>
        <v>43.329842931937179</v>
      </c>
      <c r="H3983" s="1428" t="s">
        <v>3294</v>
      </c>
      <c r="I3983" s="1429" t="s">
        <v>626</v>
      </c>
      <c r="J3983" s="1428">
        <v>13</v>
      </c>
      <c r="K3983" s="1428">
        <v>519.96</v>
      </c>
      <c r="L3983" s="1426">
        <f>INT(base[[#This Row],[Data de liquidação]])</f>
        <v>46264</v>
      </c>
      <c r="M3983" s="1428">
        <f>base[[#This Row],[L/P Bruto]]-base[[#This Row],[L/P Líquido]]</f>
        <v>1.9498429319371766</v>
      </c>
      <c r="N3983" s="1428">
        <f>base[[#This Row],[L/P Líquido]]/base[[#This Row],[Stake/Responsabilidade]]</f>
        <v>7.958304484960381E-2</v>
      </c>
      <c r="O3983" s="1430">
        <f>IF(base[[#This Row],[L/P Líquido]]&gt;0,1,0)</f>
        <v>1</v>
      </c>
      <c r="P3983" s="1430"/>
      <c r="Q3983" s="1430" t="str">
        <f>LEFT(base[[#This Row],[Evento / Mercado]],FIND("vs",base[[#This Row],[Evento / Mercado]])-2)</f>
        <v>Mirassol FC</v>
      </c>
      <c r="R3983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30" t="str">
        <f>LEFT(base[[#This Row],[Evento / Mercado]],FIND("/",base[[#This Row],[Evento / Mercado]])-2)</f>
        <v>Mirassol FC vs Palmeiras</v>
      </c>
      <c r="T3983" s="1431">
        <f>base[[#This Row],[Data de liquidação]]</f>
        <v>46264.855532407404</v>
      </c>
    </row>
    <row r="3984" spans="2:22" ht="15" customHeight="1" x14ac:dyDescent="0.25">
      <c r="B3984" s="1425" t="s">
        <v>4633</v>
      </c>
      <c r="C3984" s="859" t="s">
        <v>3512</v>
      </c>
      <c r="D3984" s="1426">
        <v>46264.958993055552</v>
      </c>
      <c r="E3984" s="1427">
        <v>1.47</v>
      </c>
      <c r="F3984" s="583">
        <v>4.4999999999999998E-2</v>
      </c>
      <c r="G3984" s="1428">
        <f t="shared" si="157"/>
        <v>1.5392670157068062</v>
      </c>
      <c r="H3984" s="1366" t="s">
        <v>1646</v>
      </c>
      <c r="I3984" s="1402" t="s">
        <v>3293</v>
      </c>
      <c r="J3984" s="1428">
        <v>1.77</v>
      </c>
      <c r="K3984" s="1428">
        <v>2</v>
      </c>
      <c r="L3984" s="1426">
        <f>INT(base[[#This Row],[Data de liquidação]])</f>
        <v>46264</v>
      </c>
      <c r="M3984" s="1428">
        <f>base[[#This Row],[L/P Bruto]]-base[[#This Row],[L/P Líquido]]</f>
        <v>6.9267015706806268E-2</v>
      </c>
      <c r="N3984" s="1428">
        <f>base[[#This Row],[L/P Líquido]]/base[[#This Row],[Stake/Responsabilidade]]</f>
        <v>0.73499999999999999</v>
      </c>
      <c r="O3984" s="1430">
        <f>IF(base[[#This Row],[L/P Líquido]]&gt;0,1,0)</f>
        <v>1</v>
      </c>
      <c r="P3984" s="1430"/>
      <c r="Q3984" s="1430" t="str">
        <f>LEFT(base[[#This Row],[Evento / Mercado]],FIND("vs",base[[#This Row],[Evento / Mercado]])-2)</f>
        <v>Independiente Rivadavia</v>
      </c>
      <c r="R3984" s="1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30" t="str">
        <f>LEFT(base[[#This Row],[Evento / Mercado]],FIND("/",base[[#This Row],[Evento / Mercado]])-2)</f>
        <v>Independiente Rivadavia vs Racing Club</v>
      </c>
      <c r="T3984" s="1431">
        <f>base[[#This Row],[Data de liquidação]]</f>
        <v>46264.958993055552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6"/>
  <sheetViews>
    <sheetView showGridLines="0" topLeftCell="A2" zoomScale="80" zoomScaleNormal="80" workbookViewId="0">
      <selection activeCell="E3" sqref="E3:F36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 x14ac:dyDescent="0.3">
      <c r="B3" s="916" t="s">
        <v>204</v>
      </c>
      <c r="C3" s="917" t="s">
        <v>4666</v>
      </c>
      <c r="D3" s="918">
        <v>46263.770833333336</v>
      </c>
      <c r="E3" s="918">
        <v>46263.849641203706</v>
      </c>
      <c r="F3" s="919">
        <v>31.67</v>
      </c>
      <c r="G3" s="858" t="str">
        <f>SUBSTITUTE(E3,",","")</f>
        <v>462638496412037</v>
      </c>
    </row>
    <row r="4" spans="2:7" ht="13.8" thickBot="1" x14ac:dyDescent="0.3">
      <c r="B4" s="916" t="s">
        <v>204</v>
      </c>
      <c r="C4" s="917" t="s">
        <v>4665</v>
      </c>
      <c r="D4" s="918">
        <v>46263.861111111109</v>
      </c>
      <c r="E4" s="918">
        <v>46263.940324074072</v>
      </c>
      <c r="F4" s="919">
        <v>7.59</v>
      </c>
      <c r="G4" s="858" t="str">
        <f>SUBSTITUTE(E4,",","")</f>
        <v>462639403240741</v>
      </c>
    </row>
    <row r="5" spans="2:7" ht="13.8" thickBot="1" x14ac:dyDescent="0.3">
      <c r="B5" s="916" t="s">
        <v>204</v>
      </c>
      <c r="C5" s="917" t="s">
        <v>4664</v>
      </c>
      <c r="D5" s="918">
        <v>46263.854166666664</v>
      </c>
      <c r="E5" s="918">
        <v>46263.942754629628</v>
      </c>
      <c r="F5" s="919">
        <v>7.24</v>
      </c>
      <c r="G5" s="858" t="str">
        <f>SUBSTITUTE(E5,",","")</f>
        <v>462639427546296</v>
      </c>
    </row>
    <row r="6" spans="2:7" ht="13.8" thickBot="1" x14ac:dyDescent="0.3">
      <c r="B6" s="916" t="s">
        <v>204</v>
      </c>
      <c r="C6" s="917" t="s">
        <v>4663</v>
      </c>
      <c r="D6" s="918">
        <v>46263.895833333336</v>
      </c>
      <c r="E6" s="918">
        <v>46263.97824074074</v>
      </c>
      <c r="F6" s="1362">
        <v>-277.29000000000002</v>
      </c>
      <c r="G6" s="858" t="str">
        <f>SUBSTITUTE(E6,",","")</f>
        <v>462639782407407</v>
      </c>
    </row>
    <row r="7" spans="2:7" ht="13.8" thickBot="1" x14ac:dyDescent="0.3">
      <c r="B7" s="916" t="s">
        <v>204</v>
      </c>
      <c r="C7" s="917" t="s">
        <v>4662</v>
      </c>
      <c r="D7" s="918">
        <v>46263.897222222222</v>
      </c>
      <c r="E7" s="918">
        <v>46263.978275462963</v>
      </c>
      <c r="F7" s="1362">
        <v>-2</v>
      </c>
      <c r="G7" s="858" t="str">
        <f>SUBSTITUTE(E7,",","")</f>
        <v>46263978275463</v>
      </c>
    </row>
    <row r="8" spans="2:7" ht="13.8" thickBot="1" x14ac:dyDescent="0.3">
      <c r="B8" s="916" t="s">
        <v>204</v>
      </c>
      <c r="C8" s="917" t="s">
        <v>4661</v>
      </c>
      <c r="D8" s="918">
        <v>46263.902777777781</v>
      </c>
      <c r="E8" s="918">
        <v>46263.98605324074</v>
      </c>
      <c r="F8" s="919">
        <v>46.4</v>
      </c>
      <c r="G8" s="858" t="str">
        <f>SUBSTITUTE(E8,",","")</f>
        <v>462639860532407</v>
      </c>
    </row>
    <row r="9" spans="2:7" ht="13.8" thickBot="1" x14ac:dyDescent="0.3">
      <c r="B9" s="916" t="s">
        <v>204</v>
      </c>
      <c r="C9" s="917" t="s">
        <v>4660</v>
      </c>
      <c r="D9" s="918">
        <v>46263.902777777781</v>
      </c>
      <c r="E9" s="918">
        <v>46263.986226851855</v>
      </c>
      <c r="F9" s="919">
        <v>31.59</v>
      </c>
      <c r="G9" s="858" t="str">
        <f>SUBSTITUTE(E9,",","")</f>
        <v>462639862268519</v>
      </c>
    </row>
    <row r="10" spans="2:7" ht="13.8" thickBot="1" x14ac:dyDescent="0.3">
      <c r="B10" s="916" t="s">
        <v>204</v>
      </c>
      <c r="C10" s="917" t="s">
        <v>4659</v>
      </c>
      <c r="D10" s="918">
        <v>46263.979166666664</v>
      </c>
      <c r="E10" s="918">
        <v>46264.067847222221</v>
      </c>
      <c r="F10" s="919">
        <v>16.05</v>
      </c>
      <c r="G10" s="858" t="str">
        <f>SUBSTITUTE(E10,",","")</f>
        <v>462640678472222</v>
      </c>
    </row>
    <row r="11" spans="2:7" ht="13.8" thickBot="1" x14ac:dyDescent="0.3">
      <c r="B11" s="916" t="s">
        <v>204</v>
      </c>
      <c r="C11" s="917" t="s">
        <v>4658</v>
      </c>
      <c r="D11" s="918">
        <v>46264.334027777775</v>
      </c>
      <c r="E11" s="918">
        <v>46264.411481481482</v>
      </c>
      <c r="F11" s="919">
        <v>7.59</v>
      </c>
      <c r="G11" s="858" t="str">
        <f>SUBSTITUTE(E11,",","")</f>
        <v>462644114814815</v>
      </c>
    </row>
    <row r="12" spans="2:7" ht="13.8" thickBot="1" x14ac:dyDescent="0.3">
      <c r="B12" s="916" t="s">
        <v>204</v>
      </c>
      <c r="C12" s="917" t="s">
        <v>4657</v>
      </c>
      <c r="D12" s="918">
        <v>46264.354861111111</v>
      </c>
      <c r="E12" s="918">
        <v>46264.432916666665</v>
      </c>
      <c r="F12" s="919">
        <v>36.82</v>
      </c>
      <c r="G12" s="858" t="str">
        <f>SUBSTITUTE(E12,",","")</f>
        <v>462644329166667</v>
      </c>
    </row>
    <row r="13" spans="2:7" ht="13.8" thickBot="1" x14ac:dyDescent="0.3">
      <c r="B13" s="916" t="s">
        <v>204</v>
      </c>
      <c r="C13" s="917" t="s">
        <v>4656</v>
      </c>
      <c r="D13" s="918">
        <v>46264.375</v>
      </c>
      <c r="E13" s="918">
        <v>46264.442511574074</v>
      </c>
      <c r="F13" s="919">
        <v>0.93</v>
      </c>
      <c r="G13" s="858" t="str">
        <f>SUBSTITUTE(E13,",","")</f>
        <v>462644425115741</v>
      </c>
    </row>
    <row r="14" spans="2:7" ht="13.8" thickBot="1" x14ac:dyDescent="0.3">
      <c r="B14" s="916" t="s">
        <v>204</v>
      </c>
      <c r="C14" s="917" t="s">
        <v>4655</v>
      </c>
      <c r="D14" s="918">
        <v>46264.375</v>
      </c>
      <c r="E14" s="918">
        <v>46264.451284722221</v>
      </c>
      <c r="F14" s="919">
        <v>8.36</v>
      </c>
      <c r="G14" s="858" t="str">
        <f>SUBSTITUTE(E14,",","")</f>
        <v>462644512847222</v>
      </c>
    </row>
    <row r="15" spans="2:7" ht="13.8" thickBot="1" x14ac:dyDescent="0.3">
      <c r="B15" s="916" t="s">
        <v>204</v>
      </c>
      <c r="C15" s="917" t="s">
        <v>4654</v>
      </c>
      <c r="D15" s="918">
        <v>46264.396527777775</v>
      </c>
      <c r="E15" s="918">
        <v>46264.453715277778</v>
      </c>
      <c r="F15" s="919">
        <v>0.41</v>
      </c>
      <c r="G15" s="858" t="str">
        <f>SUBSTITUTE(E15,",","")</f>
        <v>462644537152778</v>
      </c>
    </row>
    <row r="16" spans="2:7" ht="13.8" thickBot="1" x14ac:dyDescent="0.3">
      <c r="B16" s="916" t="s">
        <v>204</v>
      </c>
      <c r="C16" s="917" t="s">
        <v>4653</v>
      </c>
      <c r="D16" s="918">
        <v>46264.395833333336</v>
      </c>
      <c r="E16" s="918">
        <v>46264.474699074075</v>
      </c>
      <c r="F16" s="919">
        <v>9.16</v>
      </c>
      <c r="G16" s="858" t="str">
        <f>SUBSTITUTE(E16,",","")</f>
        <v>462644746990741</v>
      </c>
    </row>
    <row r="17" spans="2:7" ht="13.8" thickBot="1" x14ac:dyDescent="0.3">
      <c r="B17" s="916" t="s">
        <v>204</v>
      </c>
      <c r="C17" s="917" t="s">
        <v>4652</v>
      </c>
      <c r="D17" s="918">
        <v>46264.395833333336</v>
      </c>
      <c r="E17" s="918">
        <v>46264.475810185184</v>
      </c>
      <c r="F17" s="919">
        <v>27.02</v>
      </c>
      <c r="G17" s="858" t="str">
        <f>SUBSTITUTE(E17,",","")</f>
        <v>462644758101852</v>
      </c>
    </row>
    <row r="18" spans="2:7" ht="13.8" thickBot="1" x14ac:dyDescent="0.3">
      <c r="B18" s="916" t="s">
        <v>204</v>
      </c>
      <c r="C18" s="917" t="s">
        <v>4651</v>
      </c>
      <c r="D18" s="918">
        <v>46264.397222222222</v>
      </c>
      <c r="E18" s="918">
        <v>46264.475902777776</v>
      </c>
      <c r="F18" s="919">
        <v>27.85</v>
      </c>
      <c r="G18" s="858" t="str">
        <f>SUBSTITUTE(E18,",","")</f>
        <v>462644759027778</v>
      </c>
    </row>
    <row r="19" spans="2:7" ht="13.8" thickBot="1" x14ac:dyDescent="0.3">
      <c r="B19" s="916" t="s">
        <v>204</v>
      </c>
      <c r="C19" s="917" t="s">
        <v>4650</v>
      </c>
      <c r="D19" s="918">
        <v>46264.458333333336</v>
      </c>
      <c r="E19" s="918">
        <v>46264.485509259262</v>
      </c>
      <c r="F19" s="919">
        <v>114.6</v>
      </c>
      <c r="G19" s="858" t="str">
        <f>SUBSTITUTE(E19,",","")</f>
        <v>462644855092593</v>
      </c>
    </row>
    <row r="20" spans="2:7" ht="13.8" thickBot="1" x14ac:dyDescent="0.3">
      <c r="B20" s="916" t="s">
        <v>204</v>
      </c>
      <c r="C20" s="917" t="s">
        <v>4649</v>
      </c>
      <c r="D20" s="918">
        <v>46264.479166666664</v>
      </c>
      <c r="E20" s="918">
        <v>46264.526574074072</v>
      </c>
      <c r="F20" s="919">
        <v>0.6</v>
      </c>
      <c r="G20" s="858" t="str">
        <f>SUBSTITUTE(E20,",","")</f>
        <v>462645265740741</v>
      </c>
    </row>
    <row r="21" spans="2:7" ht="13.8" thickBot="1" x14ac:dyDescent="0.3">
      <c r="B21" s="916" t="s">
        <v>204</v>
      </c>
      <c r="C21" s="917" t="s">
        <v>4648</v>
      </c>
      <c r="D21" s="918">
        <v>46264.458333333336</v>
      </c>
      <c r="E21" s="918">
        <v>46264.535763888889</v>
      </c>
      <c r="F21" s="919">
        <v>7.59</v>
      </c>
      <c r="G21" s="858" t="str">
        <f>SUBSTITUTE(E21,",","")</f>
        <v>462645357638889</v>
      </c>
    </row>
    <row r="22" spans="2:7" ht="13.8" thickBot="1" x14ac:dyDescent="0.3">
      <c r="B22" s="916" t="s">
        <v>204</v>
      </c>
      <c r="C22" s="917" t="s">
        <v>4647</v>
      </c>
      <c r="D22" s="918">
        <v>46264.479166666664</v>
      </c>
      <c r="E22" s="918">
        <v>46264.557569444441</v>
      </c>
      <c r="F22" s="919">
        <v>45.31</v>
      </c>
      <c r="G22" s="858" t="str">
        <f>SUBSTITUTE(E22,",","")</f>
        <v>462645575694444</v>
      </c>
    </row>
    <row r="23" spans="2:7" ht="13.8" thickBot="1" x14ac:dyDescent="0.3">
      <c r="B23" s="916" t="s">
        <v>204</v>
      </c>
      <c r="C23" s="917" t="s">
        <v>4646</v>
      </c>
      <c r="D23" s="918">
        <v>46264.5</v>
      </c>
      <c r="E23" s="918">
        <v>46264.568368055552</v>
      </c>
      <c r="F23" s="919">
        <v>9.93</v>
      </c>
      <c r="G23" s="858" t="str">
        <f>SUBSTITUTE(E23,",","")</f>
        <v>462645683680556</v>
      </c>
    </row>
    <row r="24" spans="2:7" ht="13.8" thickBot="1" x14ac:dyDescent="0.3">
      <c r="B24" s="916" t="s">
        <v>204</v>
      </c>
      <c r="C24" s="917" t="s">
        <v>4645</v>
      </c>
      <c r="D24" s="918">
        <v>46264.500694444447</v>
      </c>
      <c r="E24" s="918">
        <v>46264.577314814815</v>
      </c>
      <c r="F24" s="919">
        <v>8.57</v>
      </c>
      <c r="G24" s="858" t="str">
        <f>SUBSTITUTE(E24,",","")</f>
        <v>462645773148148</v>
      </c>
    </row>
    <row r="25" spans="2:7" ht="13.8" thickBot="1" x14ac:dyDescent="0.3">
      <c r="B25" s="916" t="s">
        <v>204</v>
      </c>
      <c r="C25" s="917" t="s">
        <v>4644</v>
      </c>
      <c r="D25" s="918">
        <v>46264.5</v>
      </c>
      <c r="E25" s="918">
        <v>46264.581354166665</v>
      </c>
      <c r="F25" s="919">
        <v>27.32</v>
      </c>
      <c r="G25" s="858" t="str">
        <f>SUBSTITUTE(E25,",","")</f>
        <v>462645813541667</v>
      </c>
    </row>
    <row r="26" spans="2:7" ht="13.8" thickBot="1" x14ac:dyDescent="0.3">
      <c r="B26" s="916" t="s">
        <v>204</v>
      </c>
      <c r="C26" s="917" t="s">
        <v>4643</v>
      </c>
      <c r="D26" s="918">
        <v>46264.5</v>
      </c>
      <c r="E26" s="918">
        <v>46264.581423611111</v>
      </c>
      <c r="F26" s="919">
        <v>6.2</v>
      </c>
      <c r="G26" s="858" t="str">
        <f>SUBSTITUTE(E26,",","")</f>
        <v>462645814236111</v>
      </c>
    </row>
    <row r="27" spans="2:7" ht="13.8" thickBot="1" x14ac:dyDescent="0.3">
      <c r="B27" s="916" t="s">
        <v>204</v>
      </c>
      <c r="C27" s="917" t="s">
        <v>4642</v>
      </c>
      <c r="D27" s="918">
        <v>46264.500694444447</v>
      </c>
      <c r="E27" s="918">
        <v>46264.581516203703</v>
      </c>
      <c r="F27" s="919">
        <v>65.97</v>
      </c>
      <c r="G27" s="858" t="str">
        <f>SUBSTITUTE(E27,",","")</f>
        <v>462645815162037</v>
      </c>
    </row>
    <row r="28" spans="2:7" ht="13.8" thickBot="1" x14ac:dyDescent="0.3">
      <c r="B28" s="916" t="s">
        <v>204</v>
      </c>
      <c r="C28" s="917" t="s">
        <v>4641</v>
      </c>
      <c r="D28" s="918">
        <v>46264.5</v>
      </c>
      <c r="E28" s="918">
        <v>46264.58153935185</v>
      </c>
      <c r="F28" s="919">
        <v>59.69</v>
      </c>
      <c r="G28" s="858" t="str">
        <f>SUBSTITUTE(E28,",","")</f>
        <v>462645815393518</v>
      </c>
    </row>
    <row r="29" spans="2:7" ht="13.8" thickBot="1" x14ac:dyDescent="0.3">
      <c r="B29" s="916" t="s">
        <v>204</v>
      </c>
      <c r="C29" s="917" t="s">
        <v>4640</v>
      </c>
      <c r="D29" s="918">
        <v>46264.5</v>
      </c>
      <c r="E29" s="918">
        <v>46264.581550925926</v>
      </c>
      <c r="F29" s="919">
        <v>27.28</v>
      </c>
      <c r="G29" s="858" t="str">
        <f>SUBSTITUTE(E29,",","")</f>
        <v>462645815509259</v>
      </c>
    </row>
    <row r="30" spans="2:7" ht="13.8" thickBot="1" x14ac:dyDescent="0.3">
      <c r="B30" s="916" t="s">
        <v>204</v>
      </c>
      <c r="C30" s="917" t="s">
        <v>4639</v>
      </c>
      <c r="D30" s="918">
        <v>46264.583333333336</v>
      </c>
      <c r="E30" s="918">
        <v>46264.661412037036</v>
      </c>
      <c r="F30" s="919">
        <v>8.09</v>
      </c>
      <c r="G30" s="858" t="str">
        <f>SUBSTITUTE(E30,",","")</f>
        <v>46264661412037</v>
      </c>
    </row>
    <row r="31" spans="2:7" ht="13.8" thickBot="1" x14ac:dyDescent="0.3">
      <c r="B31" s="916" t="s">
        <v>204</v>
      </c>
      <c r="C31" s="917" t="s">
        <v>4638</v>
      </c>
      <c r="D31" s="918">
        <v>46264.666666666664</v>
      </c>
      <c r="E31" s="918">
        <v>46264.747384259259</v>
      </c>
      <c r="F31" s="919">
        <v>12.44</v>
      </c>
      <c r="G31" s="858" t="str">
        <f>SUBSTITUTE(E31,",","")</f>
        <v>462647473842593</v>
      </c>
    </row>
    <row r="32" spans="2:7" ht="13.8" thickBot="1" x14ac:dyDescent="0.3">
      <c r="B32" s="916" t="s">
        <v>204</v>
      </c>
      <c r="C32" s="917" t="s">
        <v>4637</v>
      </c>
      <c r="D32" s="918">
        <v>46264.6875</v>
      </c>
      <c r="E32" s="918">
        <v>46264.763865740744</v>
      </c>
      <c r="F32" s="1362">
        <v>-20</v>
      </c>
      <c r="G32" s="858" t="str">
        <f>SUBSTITUTE(E32,",","")</f>
        <v>462647638657407</v>
      </c>
    </row>
    <row r="33" spans="2:7" ht="13.8" thickBot="1" x14ac:dyDescent="0.3">
      <c r="B33" s="916" t="s">
        <v>204</v>
      </c>
      <c r="C33" s="917" t="s">
        <v>4636</v>
      </c>
      <c r="D33" s="918">
        <v>46264.708333333336</v>
      </c>
      <c r="E33" s="918">
        <v>46264.767187500001</v>
      </c>
      <c r="F33" s="919">
        <v>1.18</v>
      </c>
      <c r="G33" s="858" t="str">
        <f>SUBSTITUTE(E33,",","")</f>
        <v>462647671875</v>
      </c>
    </row>
    <row r="34" spans="2:7" ht="13.8" thickBot="1" x14ac:dyDescent="0.3">
      <c r="B34" s="916" t="s">
        <v>204</v>
      </c>
      <c r="C34" s="917" t="s">
        <v>4635</v>
      </c>
      <c r="D34" s="918">
        <v>46264.772222222222</v>
      </c>
      <c r="E34" s="918">
        <v>46264.849479166667</v>
      </c>
      <c r="F34" s="1362">
        <v>-2</v>
      </c>
      <c r="G34" s="858" t="str">
        <f>SUBSTITUTE(E34,",","")</f>
        <v>462648494791667</v>
      </c>
    </row>
    <row r="35" spans="2:7" ht="13.8" thickBot="1" x14ac:dyDescent="0.3">
      <c r="B35" s="916" t="s">
        <v>204</v>
      </c>
      <c r="C35" s="917" t="s">
        <v>4634</v>
      </c>
      <c r="D35" s="918">
        <v>46264.770833333336</v>
      </c>
      <c r="E35" s="918">
        <v>46264.855532407404</v>
      </c>
      <c r="F35" s="919">
        <v>41.38</v>
      </c>
      <c r="G35" s="858" t="str">
        <f>SUBSTITUTE(E35,",","")</f>
        <v>462648555324074</v>
      </c>
    </row>
    <row r="36" spans="2:7" ht="13.8" thickBot="1" x14ac:dyDescent="0.3">
      <c r="B36" s="916" t="s">
        <v>204</v>
      </c>
      <c r="C36" s="917" t="s">
        <v>4633</v>
      </c>
      <c r="D36" s="918">
        <v>46264.895138888889</v>
      </c>
      <c r="E36" s="918">
        <v>46264.958993055552</v>
      </c>
      <c r="F36" s="919">
        <v>1.47</v>
      </c>
      <c r="G36" s="858" t="str">
        <f>SUBSTITUTE(E36,",","")</f>
        <v>462649589930556</v>
      </c>
    </row>
  </sheetData>
  <autoFilter ref="B2:G2"/>
  <sortState ref="B3:G36">
    <sortCondition ref="E3:E36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 x14ac:dyDescent="0.25">
      <c r="B2" s="996" t="s">
        <v>3375</v>
      </c>
      <c r="C2" s="998">
        <v>6200</v>
      </c>
      <c r="D2" s="996"/>
      <c r="F2" s="998"/>
    </row>
    <row r="3" spans="2:21" ht="15" customHeight="1" x14ac:dyDescent="0.25">
      <c r="B3" s="996" t="s">
        <v>3878</v>
      </c>
      <c r="C3" s="997">
        <v>0.2</v>
      </c>
      <c r="D3" s="996"/>
      <c r="F3" s="998"/>
    </row>
    <row r="4" spans="2:21" ht="15" customHeight="1" x14ac:dyDescent="0.25">
      <c r="B4" s="996" t="s">
        <v>3424</v>
      </c>
      <c r="C4" s="1001">
        <f>C2*C3</f>
        <v>1240</v>
      </c>
      <c r="D4" s="996"/>
      <c r="F4" s="998"/>
    </row>
    <row r="6" spans="2:21" ht="30" customHeight="1" x14ac:dyDescent="0.25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 x14ac:dyDescent="0.25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 x14ac:dyDescent="0.25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 x14ac:dyDescent="0.25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 x14ac:dyDescent="0.25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 x14ac:dyDescent="0.25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 x14ac:dyDescent="0.25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 x14ac:dyDescent="0.25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 x14ac:dyDescent="0.25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 x14ac:dyDescent="0.25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 x14ac:dyDescent="0.25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 x14ac:dyDescent="0.25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 x14ac:dyDescent="0.25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 x14ac:dyDescent="0.25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 x14ac:dyDescent="0.25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 x14ac:dyDescent="0.25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 x14ac:dyDescent="0.25"/>
    <row r="23" spans="2:21" ht="15" customHeight="1" x14ac:dyDescent="0.25">
      <c r="C23" s="1055"/>
      <c r="U23" s="998">
        <f>SUMIF(C7:C21,"x",U7:U21)</f>
        <v>2510.9999999999995</v>
      </c>
    </row>
    <row r="24" spans="2:21" ht="15" customHeight="1" x14ac:dyDescent="0.25">
      <c r="U24" s="997">
        <f>U23/C2</f>
        <v>0.40499999999999992</v>
      </c>
    </row>
    <row r="25" spans="2:21" ht="15" customHeight="1" x14ac:dyDescent="0.25">
      <c r="B25" s="1011"/>
      <c r="C25" s="1011"/>
      <c r="E25" s="1025"/>
    </row>
    <row r="26" spans="2:21" ht="15" customHeight="1" x14ac:dyDescent="0.25">
      <c r="B26" s="1011"/>
      <c r="C26" s="1011"/>
      <c r="E26" s="1011"/>
    </row>
    <row r="27" spans="2:21" ht="15" customHeight="1" x14ac:dyDescent="0.25">
      <c r="B27" s="1011"/>
      <c r="C27" s="1011"/>
    </row>
    <row r="28" spans="2:21" ht="15" customHeight="1" x14ac:dyDescent="0.25">
      <c r="B28" s="1011"/>
      <c r="C28" s="1011"/>
    </row>
    <row r="29" spans="2:21" ht="15" customHeight="1" x14ac:dyDescent="0.25">
      <c r="B29" s="1011"/>
      <c r="C29" s="1011"/>
    </row>
    <row r="30" spans="2:21" ht="15" customHeight="1" x14ac:dyDescent="0.25">
      <c r="B30" s="1011"/>
      <c r="C30" s="1011"/>
    </row>
    <row r="31" spans="2:21" ht="15" customHeight="1" x14ac:dyDescent="0.25">
      <c r="B31" s="1011"/>
      <c r="C31" s="1011"/>
    </row>
    <row r="32" spans="2:21" ht="15" customHeight="1" x14ac:dyDescent="0.25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 x14ac:dyDescent="0.25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 x14ac:dyDescent="0.25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 x14ac:dyDescent="0.25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 x14ac:dyDescent="0.25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 x14ac:dyDescent="0.25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 x14ac:dyDescent="0.25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 x14ac:dyDescent="0.25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 x14ac:dyDescent="0.25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 x14ac:dyDescent="0.25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 x14ac:dyDescent="0.25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 x14ac:dyDescent="0.25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 x14ac:dyDescent="0.25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 x14ac:dyDescent="0.25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 x14ac:dyDescent="0.25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 x14ac:dyDescent="0.25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 x14ac:dyDescent="0.25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 x14ac:dyDescent="0.25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 x14ac:dyDescent="0.25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 x14ac:dyDescent="0.25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 x14ac:dyDescent="0.25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 x14ac:dyDescent="0.25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 x14ac:dyDescent="0.25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 x14ac:dyDescent="0.25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 x14ac:dyDescent="0.25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 x14ac:dyDescent="0.25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 x14ac:dyDescent="0.25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 x14ac:dyDescent="0.25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 x14ac:dyDescent="0.25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 x14ac:dyDescent="0.25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 x14ac:dyDescent="0.25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 x14ac:dyDescent="0.25">
      <c r="B2" s="1389" t="s">
        <v>266</v>
      </c>
      <c r="C2" s="1390" t="s">
        <v>385</v>
      </c>
      <c r="E2" s="1389" t="s">
        <v>266</v>
      </c>
      <c r="F2" s="1390" t="s">
        <v>385</v>
      </c>
      <c r="G2" s="1390" t="s">
        <v>3949</v>
      </c>
      <c r="H2" s="1390" t="s">
        <v>3946</v>
      </c>
      <c r="J2" s="1389" t="s">
        <v>266</v>
      </c>
      <c r="K2" s="1390" t="s">
        <v>385</v>
      </c>
      <c r="L2" s="1390" t="s">
        <v>3946</v>
      </c>
      <c r="N2" s="1389" t="s">
        <v>266</v>
      </c>
      <c r="O2" s="1390" t="s">
        <v>385</v>
      </c>
      <c r="P2" s="1390" t="s">
        <v>3946</v>
      </c>
      <c r="R2" s="1389" t="s">
        <v>266</v>
      </c>
      <c r="S2" s="1390" t="s">
        <v>385</v>
      </c>
      <c r="T2" s="1390" t="s">
        <v>3946</v>
      </c>
    </row>
    <row r="3" spans="2:20" ht="15" customHeight="1" x14ac:dyDescent="0.25">
      <c r="B3" s="1391" t="s">
        <v>3193</v>
      </c>
      <c r="C3" s="1380">
        <v>430.91</v>
      </c>
      <c r="E3" s="1391" t="s">
        <v>3193</v>
      </c>
      <c r="F3" s="1380">
        <v>343.95</v>
      </c>
      <c r="G3" s="1380">
        <v>4.1289795918367354</v>
      </c>
      <c r="H3" s="1381">
        <v>49</v>
      </c>
      <c r="I3" s="1029"/>
      <c r="J3" s="1391" t="s">
        <v>3948</v>
      </c>
      <c r="K3" s="1380">
        <v>167.39000000000004</v>
      </c>
      <c r="L3" s="1381">
        <v>38</v>
      </c>
      <c r="M3" s="1029"/>
      <c r="N3" s="1391" t="s">
        <v>3189</v>
      </c>
      <c r="O3" s="1380">
        <v>-0.25000000000001066</v>
      </c>
      <c r="P3" s="1381">
        <v>38</v>
      </c>
      <c r="R3" s="1391" t="s">
        <v>3192</v>
      </c>
      <c r="S3" s="1380">
        <v>254.81000000000012</v>
      </c>
      <c r="T3" s="1381">
        <v>35</v>
      </c>
    </row>
    <row r="4" spans="2:20" ht="15" customHeight="1" x14ac:dyDescent="0.25">
      <c r="B4" s="1392" t="s">
        <v>3927</v>
      </c>
      <c r="C4" s="1380">
        <v>114.71</v>
      </c>
      <c r="E4" s="1391" t="s">
        <v>3288</v>
      </c>
      <c r="F4" s="1380">
        <v>-144.39999999999998</v>
      </c>
      <c r="G4" s="1380">
        <v>6.1157894736842104</v>
      </c>
      <c r="H4" s="1381">
        <v>19</v>
      </c>
      <c r="I4" s="1029"/>
      <c r="J4" s="1391" t="s">
        <v>3947</v>
      </c>
      <c r="K4" s="1380">
        <v>119.11999999999996</v>
      </c>
      <c r="L4" s="1381">
        <v>27</v>
      </c>
      <c r="M4" s="1029"/>
      <c r="N4" s="1391" t="s">
        <v>3190</v>
      </c>
      <c r="O4" s="1380">
        <v>286.7600000000001</v>
      </c>
      <c r="P4" s="1381">
        <v>27</v>
      </c>
      <c r="R4" s="1391" t="s">
        <v>3200</v>
      </c>
      <c r="S4" s="1380">
        <v>31.699999999999964</v>
      </c>
      <c r="T4" s="1381">
        <v>30</v>
      </c>
    </row>
    <row r="5" spans="2:20" ht="15" customHeight="1" x14ac:dyDescent="0.25">
      <c r="B5" s="1392" t="s">
        <v>3928</v>
      </c>
      <c r="C5" s="1380">
        <v>-86.91</v>
      </c>
      <c r="E5" s="1391" t="s">
        <v>267</v>
      </c>
      <c r="F5" s="1380">
        <v>199.55</v>
      </c>
      <c r="G5" s="1380">
        <v>4.6841176470588231</v>
      </c>
      <c r="H5" s="1381">
        <v>68</v>
      </c>
      <c r="I5" s="1029"/>
      <c r="J5" s="1391" t="s">
        <v>267</v>
      </c>
      <c r="K5" s="1380">
        <v>286.51000000000005</v>
      </c>
      <c r="L5" s="1381">
        <v>65</v>
      </c>
      <c r="M5" s="1029"/>
      <c r="N5" s="1391" t="s">
        <v>267</v>
      </c>
      <c r="O5" s="1380">
        <v>286.5100000000001</v>
      </c>
      <c r="P5" s="1381">
        <v>65</v>
      </c>
      <c r="R5" s="1391" t="s">
        <v>267</v>
      </c>
      <c r="S5" s="1380">
        <v>286.51000000000028</v>
      </c>
      <c r="T5" s="1381">
        <v>65</v>
      </c>
    </row>
    <row r="6" spans="2:20" ht="15" customHeight="1" x14ac:dyDescent="0.25">
      <c r="B6" s="1392" t="s">
        <v>3929</v>
      </c>
      <c r="C6" s="1380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 x14ac:dyDescent="0.25">
      <c r="B7" s="1392" t="s">
        <v>3930</v>
      </c>
      <c r="C7" s="1380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 x14ac:dyDescent="0.25">
      <c r="B8" s="1392" t="s">
        <v>3931</v>
      </c>
      <c r="C8" s="1380">
        <v>-148.69</v>
      </c>
      <c r="E8" s="1389" t="s">
        <v>12</v>
      </c>
      <c r="F8" s="1390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 x14ac:dyDescent="0.25">
      <c r="B9" s="1392" t="s">
        <v>3932</v>
      </c>
      <c r="C9" s="1380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 x14ac:dyDescent="0.25">
      <c r="B10" s="1392" t="s">
        <v>3933</v>
      </c>
      <c r="C10" s="1380">
        <v>76.830000000000013</v>
      </c>
      <c r="E10" s="1389" t="s">
        <v>266</v>
      </c>
      <c r="F10" s="1390" t="s">
        <v>385</v>
      </c>
      <c r="G10" s="1390" t="s">
        <v>3949</v>
      </c>
      <c r="H10" s="1390" t="s">
        <v>3946</v>
      </c>
    </row>
    <row r="11" spans="2:20" ht="15" customHeight="1" x14ac:dyDescent="0.25">
      <c r="B11" s="1392" t="s">
        <v>3934</v>
      </c>
      <c r="C11" s="1380">
        <v>50.230000000000004</v>
      </c>
      <c r="E11" s="1391" t="s">
        <v>75</v>
      </c>
      <c r="F11" s="1380">
        <v>-484.33000000000004</v>
      </c>
      <c r="G11" s="1380">
        <v>3.6079999999999997</v>
      </c>
      <c r="H11" s="1381">
        <v>5</v>
      </c>
    </row>
    <row r="12" spans="2:20" ht="15" customHeight="1" x14ac:dyDescent="0.25">
      <c r="B12" s="1392" t="s">
        <v>3935</v>
      </c>
      <c r="C12" s="1380">
        <v>26.75</v>
      </c>
      <c r="E12" s="1391" t="s">
        <v>3347</v>
      </c>
      <c r="F12" s="1380">
        <v>68.160000000000011</v>
      </c>
      <c r="G12" s="1380">
        <v>3.625</v>
      </c>
      <c r="H12" s="1381">
        <v>4</v>
      </c>
    </row>
    <row r="13" spans="2:20" ht="15" customHeight="1" x14ac:dyDescent="0.25">
      <c r="B13" s="1392" t="s">
        <v>3936</v>
      </c>
      <c r="C13" s="1380">
        <v>78.309999999999988</v>
      </c>
      <c r="E13" s="1391" t="s">
        <v>3214</v>
      </c>
      <c r="F13" s="1380">
        <v>-51.780000000000008</v>
      </c>
      <c r="G13" s="1380">
        <v>3.8920000000000003</v>
      </c>
      <c r="H13" s="1381">
        <v>5</v>
      </c>
    </row>
    <row r="14" spans="2:20" ht="15" customHeight="1" x14ac:dyDescent="0.25">
      <c r="B14" s="1392" t="s">
        <v>3937</v>
      </c>
      <c r="C14" s="1380">
        <v>27.9</v>
      </c>
      <c r="E14" s="1391" t="s">
        <v>3589</v>
      </c>
      <c r="F14" s="1380">
        <v>-56.7</v>
      </c>
      <c r="G14" s="1380">
        <v>3.9249999999999998</v>
      </c>
      <c r="H14" s="1381">
        <v>2</v>
      </c>
    </row>
    <row r="15" spans="2:20" ht="15" customHeight="1" x14ac:dyDescent="0.25">
      <c r="B15" s="1392" t="s">
        <v>3938</v>
      </c>
      <c r="C15" s="1380">
        <v>44.44</v>
      </c>
      <c r="E15" s="1391" t="s">
        <v>3583</v>
      </c>
      <c r="F15" s="1380">
        <v>595.61999999999989</v>
      </c>
      <c r="G15" s="1380">
        <v>4.2961111111111112</v>
      </c>
      <c r="H15" s="1381">
        <v>18</v>
      </c>
    </row>
    <row r="16" spans="2:20" ht="15" customHeight="1" x14ac:dyDescent="0.25">
      <c r="B16" s="1392" t="s">
        <v>3940</v>
      </c>
      <c r="C16" s="1380">
        <v>10.86</v>
      </c>
      <c r="E16" s="1391" t="s">
        <v>3635</v>
      </c>
      <c r="F16" s="1380">
        <v>19.579999999999998</v>
      </c>
      <c r="G16" s="1380">
        <v>4.4666666666666668</v>
      </c>
      <c r="H16" s="1381">
        <v>3</v>
      </c>
    </row>
    <row r="17" spans="2:8" ht="15" customHeight="1" x14ac:dyDescent="0.25">
      <c r="B17" s="1392" t="s">
        <v>3941</v>
      </c>
      <c r="C17" s="1380">
        <v>29.54</v>
      </c>
      <c r="E17" s="1391" t="s">
        <v>3582</v>
      </c>
      <c r="F17" s="1380">
        <v>44.739999999999995</v>
      </c>
      <c r="G17" s="1380">
        <v>4.3449999999999998</v>
      </c>
      <c r="H17" s="1381">
        <v>2</v>
      </c>
    </row>
    <row r="18" spans="2:8" ht="15" customHeight="1" x14ac:dyDescent="0.25">
      <c r="B18" s="1391" t="s">
        <v>3288</v>
      </c>
      <c r="C18" s="1380">
        <v>-144.39999999999998</v>
      </c>
      <c r="E18" s="1391" t="s">
        <v>3584</v>
      </c>
      <c r="F18" s="1380">
        <v>295.62</v>
      </c>
      <c r="G18" s="1380">
        <v>4.2642857142857142</v>
      </c>
      <c r="H18" s="1381">
        <v>7</v>
      </c>
    </row>
    <row r="19" spans="2:8" ht="15" customHeight="1" x14ac:dyDescent="0.25">
      <c r="B19" s="1392" t="s">
        <v>3936</v>
      </c>
      <c r="C19" s="1380">
        <v>12.41</v>
      </c>
      <c r="E19" s="1391" t="s">
        <v>267</v>
      </c>
      <c r="F19" s="1380">
        <v>430.91000000000014</v>
      </c>
      <c r="G19" s="1380">
        <v>4.1113043478260867</v>
      </c>
      <c r="H19" s="1381">
        <v>46</v>
      </c>
    </row>
    <row r="20" spans="2:8" ht="15" customHeight="1" x14ac:dyDescent="0.25">
      <c r="B20" s="1392" t="s">
        <v>3938</v>
      </c>
      <c r="C20" s="1380">
        <v>-142.26999999999998</v>
      </c>
      <c r="E20" s="1025"/>
      <c r="F20" s="1025"/>
      <c r="G20" s="1025"/>
      <c r="H20" s="1025"/>
    </row>
    <row r="21" spans="2:8" ht="15" customHeight="1" x14ac:dyDescent="0.25">
      <c r="B21" s="1392" t="s">
        <v>3939</v>
      </c>
      <c r="C21" s="1380">
        <v>50.61</v>
      </c>
      <c r="E21" s="1025"/>
      <c r="F21" s="1025"/>
      <c r="G21" s="1025"/>
      <c r="H21" s="1025"/>
    </row>
    <row r="22" spans="2:8" ht="15" customHeight="1" x14ac:dyDescent="0.25">
      <c r="B22" s="1392" t="s">
        <v>3940</v>
      </c>
      <c r="C22" s="1380">
        <v>-14.3</v>
      </c>
      <c r="E22" s="1025"/>
      <c r="F22" s="1025"/>
      <c r="G22" s="1025"/>
      <c r="H22" s="1025"/>
    </row>
    <row r="23" spans="2:8" ht="15" customHeight="1" x14ac:dyDescent="0.25">
      <c r="B23" s="1392" t="s">
        <v>3941</v>
      </c>
      <c r="C23" s="1380">
        <v>-8.36</v>
      </c>
      <c r="E23" s="1025"/>
      <c r="F23" s="1025"/>
      <c r="G23" s="1025"/>
      <c r="H23" s="1025"/>
    </row>
    <row r="24" spans="2:8" ht="15" customHeight="1" x14ac:dyDescent="0.25">
      <c r="B24" s="1392" t="s">
        <v>3942</v>
      </c>
      <c r="C24" s="1380">
        <v>-0.91000000000000014</v>
      </c>
      <c r="E24" s="1025"/>
      <c r="F24" s="1025"/>
      <c r="G24" s="1025"/>
      <c r="H24" s="1025"/>
    </row>
    <row r="25" spans="2:8" ht="15" customHeight="1" x14ac:dyDescent="0.25">
      <c r="B25" s="1392" t="s">
        <v>3943</v>
      </c>
      <c r="C25" s="1380">
        <v>-100.96</v>
      </c>
      <c r="E25" s="1025"/>
      <c r="F25" s="1025"/>
      <c r="G25" s="1025"/>
      <c r="H25" s="1025"/>
    </row>
    <row r="26" spans="2:8" ht="15" customHeight="1" x14ac:dyDescent="0.25">
      <c r="B26" s="1392" t="s">
        <v>3944</v>
      </c>
      <c r="C26" s="1380">
        <v>27.269999999999996</v>
      </c>
      <c r="E26" s="1025"/>
      <c r="F26" s="1025"/>
      <c r="G26" s="1025"/>
    </row>
    <row r="27" spans="2:8" ht="15" customHeight="1" x14ac:dyDescent="0.25">
      <c r="B27" s="1392" t="s">
        <v>3945</v>
      </c>
      <c r="C27" s="1380">
        <v>32.11</v>
      </c>
      <c r="E27" s="1025"/>
      <c r="F27" s="1025"/>
      <c r="G27" s="1025"/>
    </row>
    <row r="28" spans="2:8" ht="15" customHeight="1" x14ac:dyDescent="0.25">
      <c r="B28" s="1391" t="s">
        <v>267</v>
      </c>
      <c r="C28" s="1380">
        <v>286.51000000000005</v>
      </c>
      <c r="E28" s="1025"/>
      <c r="F28" s="1025"/>
      <c r="G28" s="1025"/>
    </row>
    <row r="29" spans="2:8" ht="15" customHeight="1" x14ac:dyDescent="0.25">
      <c r="B29" s="1025"/>
      <c r="C29" s="1025"/>
    </row>
    <row r="30" spans="2:8" ht="15" customHeight="1" x14ac:dyDescent="0.25">
      <c r="B30" s="1025"/>
      <c r="C30" s="1025"/>
    </row>
    <row r="31" spans="2:8" ht="15" customHeight="1" x14ac:dyDescent="0.25">
      <c r="B31" s="1025"/>
      <c r="C31" s="1025"/>
    </row>
    <row r="32" spans="2:8" ht="15" customHeight="1" x14ac:dyDescent="0.25">
      <c r="B32" s="1025"/>
      <c r="C32" s="1025"/>
    </row>
    <row r="33" spans="2:3" ht="15" customHeight="1" x14ac:dyDescent="0.25">
      <c r="B33" s="1025"/>
      <c r="C33" s="1025"/>
    </row>
    <row r="34" spans="2:3" ht="15" customHeight="1" x14ac:dyDescent="0.25">
      <c r="B34" s="1025"/>
      <c r="C34" s="1025"/>
    </row>
    <row r="35" spans="2:3" ht="15" customHeight="1" x14ac:dyDescent="0.25">
      <c r="B35" s="1025"/>
      <c r="C35" s="1025"/>
    </row>
    <row r="36" spans="2:3" ht="15" customHeight="1" x14ac:dyDescent="0.25">
      <c r="B36" s="1025"/>
      <c r="C36" s="1025"/>
    </row>
    <row r="37" spans="2:3" ht="15" customHeight="1" x14ac:dyDescent="0.25">
      <c r="B37" s="1025"/>
      <c r="C37" s="1025"/>
    </row>
    <row r="38" spans="2:3" ht="15" customHeight="1" x14ac:dyDescent="0.25">
      <c r="B38" s="1025"/>
      <c r="C38" s="1025"/>
    </row>
    <row r="39" spans="2:3" ht="15" customHeight="1" x14ac:dyDescent="0.25">
      <c r="B39" s="1025"/>
      <c r="C39" s="1025"/>
    </row>
    <row r="40" spans="2:3" ht="15" customHeight="1" x14ac:dyDescent="0.25">
      <c r="B40" s="1025"/>
      <c r="C40" s="1025"/>
    </row>
    <row r="41" spans="2:3" ht="15" customHeight="1" x14ac:dyDescent="0.25">
      <c r="B41" s="1025"/>
      <c r="C41" s="1025"/>
    </row>
    <row r="42" spans="2:3" ht="15" customHeight="1" x14ac:dyDescent="0.25">
      <c r="B42" s="1025"/>
      <c r="C42" s="1025"/>
    </row>
    <row r="43" spans="2:3" ht="15" customHeight="1" x14ac:dyDescent="0.25">
      <c r="B43" s="1025"/>
      <c r="C43" s="1025"/>
    </row>
    <row r="44" spans="2:3" ht="15" customHeight="1" x14ac:dyDescent="0.25">
      <c r="B44" s="1025"/>
      <c r="C44" s="1025"/>
    </row>
    <row r="45" spans="2:3" ht="15" customHeight="1" x14ac:dyDescent="0.25">
      <c r="B45" s="1025"/>
      <c r="C45" s="1025"/>
    </row>
    <row r="46" spans="2:3" ht="15" customHeight="1" x14ac:dyDescent="0.25">
      <c r="B46" s="1025"/>
      <c r="C46" s="1025"/>
    </row>
    <row r="47" spans="2:3" ht="15" customHeight="1" x14ac:dyDescent="0.25">
      <c r="B47" s="1025"/>
      <c r="C47" s="1025"/>
    </row>
    <row r="56" spans="5:6" ht="15" customHeight="1" x14ac:dyDescent="0.25">
      <c r="E56" s="1025"/>
      <c r="F56" s="1025"/>
    </row>
    <row r="57" spans="5:6" ht="15" customHeight="1" x14ac:dyDescent="0.25">
      <c r="E57" s="1025"/>
      <c r="F57" s="1025"/>
    </row>
    <row r="58" spans="5:6" ht="15" customHeight="1" x14ac:dyDescent="0.25">
      <c r="E58" s="1025"/>
      <c r="F58" s="1025"/>
    </row>
    <row r="59" spans="5:6" ht="15" customHeight="1" x14ac:dyDescent="0.25">
      <c r="E59" s="1025"/>
      <c r="F59" s="1025"/>
    </row>
    <row r="60" spans="5:6" ht="15" customHeight="1" x14ac:dyDescent="0.25">
      <c r="E60" s="1025"/>
      <c r="F60" s="1025"/>
    </row>
    <row r="61" spans="5:6" ht="15" customHeight="1" x14ac:dyDescent="0.25">
      <c r="E61" s="1025"/>
      <c r="F61" s="1025"/>
    </row>
    <row r="62" spans="5:6" ht="15" customHeight="1" x14ac:dyDescent="0.25">
      <c r="E62" s="1025"/>
      <c r="F62" s="1025"/>
    </row>
    <row r="63" spans="5:6" ht="15" customHeight="1" x14ac:dyDescent="0.25">
      <c r="E63" s="1025"/>
      <c r="F63" s="1025"/>
    </row>
    <row r="64" spans="5:6" ht="15" customHeight="1" x14ac:dyDescent="0.25">
      <c r="E64" s="1025"/>
      <c r="F64" s="1025"/>
    </row>
    <row r="65" spans="5:6" ht="15" customHeight="1" x14ac:dyDescent="0.25">
      <c r="E65" s="1025"/>
      <c r="F65" s="1025"/>
    </row>
    <row r="66" spans="5:6" ht="15" customHeight="1" x14ac:dyDescent="0.25">
      <c r="E66" s="1025"/>
      <c r="F66" s="1025"/>
    </row>
    <row r="67" spans="5:6" ht="15" customHeight="1" x14ac:dyDescent="0.25">
      <c r="E67" s="1025"/>
      <c r="F67" s="1025"/>
    </row>
    <row r="68" spans="5:6" ht="15" customHeight="1" x14ac:dyDescent="0.25">
      <c r="E68" s="1025"/>
      <c r="F68" s="1025"/>
    </row>
    <row r="69" spans="5:6" ht="15" customHeight="1" x14ac:dyDescent="0.25">
      <c r="E69" s="1025"/>
      <c r="F69" s="1025"/>
    </row>
    <row r="70" spans="5:6" ht="15" customHeight="1" x14ac:dyDescent="0.25">
      <c r="E70" s="1025"/>
      <c r="F70" s="1025"/>
    </row>
    <row r="71" spans="5:6" ht="15" customHeight="1" x14ac:dyDescent="0.25">
      <c r="E71" s="1025"/>
      <c r="F71" s="1025"/>
    </row>
    <row r="72" spans="5:6" ht="15" customHeight="1" x14ac:dyDescent="0.25">
      <c r="E72" s="1025"/>
      <c r="F72" s="1025"/>
    </row>
    <row r="73" spans="5:6" ht="15" customHeight="1" x14ac:dyDescent="0.25">
      <c r="E73" s="1025"/>
      <c r="F73" s="1025"/>
    </row>
    <row r="74" spans="5:6" ht="15" customHeight="1" x14ac:dyDescent="0.25">
      <c r="E74" s="1025"/>
      <c r="F74" s="1025"/>
    </row>
    <row r="75" spans="5:6" ht="15" customHeight="1" x14ac:dyDescent="0.25">
      <c r="E75" s="1025"/>
      <c r="F75" s="1025"/>
    </row>
    <row r="76" spans="5:6" ht="15" customHeight="1" x14ac:dyDescent="0.25">
      <c r="E76" s="1025"/>
      <c r="F76" s="1025"/>
    </row>
    <row r="77" spans="5:6" ht="15" customHeight="1" x14ac:dyDescent="0.25">
      <c r="E77" s="1025"/>
      <c r="F77" s="1025"/>
    </row>
    <row r="78" spans="5:6" ht="15" customHeight="1" x14ac:dyDescent="0.25">
      <c r="E78" s="1025"/>
      <c r="F78" s="1025"/>
    </row>
    <row r="79" spans="5:6" ht="15" customHeight="1" x14ac:dyDescent="0.25">
      <c r="E79" s="1025"/>
      <c r="F79" s="1025"/>
    </row>
    <row r="80" spans="5:6" ht="15" customHeight="1" x14ac:dyDescent="0.25">
      <c r="E80" s="1025"/>
      <c r="F80" s="1025"/>
    </row>
    <row r="81" spans="5:6" ht="15" customHeight="1" x14ac:dyDescent="0.25">
      <c r="E81" s="1025"/>
      <c r="F81" s="1025"/>
    </row>
    <row r="82" spans="5:6" ht="15" customHeight="1" x14ac:dyDescent="0.25">
      <c r="E82" s="1025"/>
      <c r="F82" s="1025"/>
    </row>
    <row r="83" spans="5:6" ht="15" customHeight="1" x14ac:dyDescent="0.25">
      <c r="E83" s="1025"/>
      <c r="F83" s="1025"/>
    </row>
    <row r="84" spans="5:6" ht="15" customHeight="1" x14ac:dyDescent="0.25">
      <c r="E84" s="1025"/>
      <c r="F84" s="1025"/>
    </row>
    <row r="85" spans="5:6" ht="15" customHeight="1" x14ac:dyDescent="0.25">
      <c r="E85" s="1025"/>
      <c r="F85" s="1025"/>
    </row>
    <row r="86" spans="5:6" ht="15" customHeight="1" x14ac:dyDescent="0.25">
      <c r="E86" s="1025"/>
      <c r="F86" s="1025"/>
    </row>
    <row r="87" spans="5:6" ht="15" customHeight="1" x14ac:dyDescent="0.25">
      <c r="E87" s="1025"/>
      <c r="F87" s="1025"/>
    </row>
    <row r="88" spans="5:6" ht="15" customHeight="1" x14ac:dyDescent="0.25">
      <c r="E88" s="1025"/>
      <c r="F88" s="1025"/>
    </row>
    <row r="89" spans="5:6" ht="15" customHeight="1" x14ac:dyDescent="0.25">
      <c r="E89" s="1025"/>
      <c r="F89" s="1025"/>
    </row>
    <row r="90" spans="5:6" ht="15" customHeight="1" x14ac:dyDescent="0.25">
      <c r="E90" s="1025"/>
      <c r="F90" s="1025"/>
    </row>
    <row r="91" spans="5:6" ht="15" customHeight="1" x14ac:dyDescent="0.25">
      <c r="E91" s="1025"/>
      <c r="F91" s="1025"/>
    </row>
    <row r="92" spans="5:6" ht="15" customHeight="1" x14ac:dyDescent="0.25">
      <c r="E92" s="1025"/>
      <c r="F92" s="1025"/>
    </row>
    <row r="93" spans="5:6" ht="15" customHeight="1" x14ac:dyDescent="0.25">
      <c r="E93" s="1025"/>
      <c r="F93" s="1025"/>
    </row>
    <row r="94" spans="5:6" ht="15" customHeight="1" x14ac:dyDescent="0.25">
      <c r="E94" s="1025"/>
      <c r="F94" s="1025"/>
    </row>
    <row r="95" spans="5:6" ht="15" customHeight="1" x14ac:dyDescent="0.25">
      <c r="E95" s="1025"/>
      <c r="F95" s="1025"/>
    </row>
    <row r="96" spans="5:6" ht="15" customHeight="1" x14ac:dyDescent="0.25">
      <c r="E96" s="1025"/>
      <c r="F96" s="1025"/>
    </row>
    <row r="97" spans="5:6" ht="15" customHeight="1" x14ac:dyDescent="0.25">
      <c r="E97" s="1025"/>
      <c r="F97" s="1025"/>
    </row>
    <row r="98" spans="5:6" ht="15" customHeight="1" x14ac:dyDescent="0.25">
      <c r="E98" s="1025"/>
      <c r="F98" s="1025"/>
    </row>
    <row r="99" spans="5:6" ht="15" customHeight="1" x14ac:dyDescent="0.25">
      <c r="E99" s="1025"/>
      <c r="F99" s="1025"/>
    </row>
    <row r="100" spans="5:6" ht="15" customHeight="1" x14ac:dyDescent="0.25">
      <c r="E100" s="1025"/>
      <c r="F100" s="1025"/>
    </row>
    <row r="101" spans="5:6" ht="15" customHeight="1" x14ac:dyDescent="0.25">
      <c r="E101" s="1025"/>
      <c r="F101" s="1025"/>
    </row>
    <row r="102" spans="5:6" ht="15" customHeight="1" x14ac:dyDescent="0.25">
      <c r="E102" s="1025"/>
      <c r="F102" s="1025"/>
    </row>
    <row r="103" spans="5:6" ht="15" customHeight="1" x14ac:dyDescent="0.25">
      <c r="E103" s="1025"/>
      <c r="F103" s="1025"/>
    </row>
    <row r="104" spans="5:6" ht="15" customHeight="1" x14ac:dyDescent="0.25">
      <c r="E104" s="1025"/>
      <c r="F104" s="1025"/>
    </row>
    <row r="105" spans="5:6" ht="15" customHeight="1" x14ac:dyDescent="0.25">
      <c r="E105" s="1025"/>
      <c r="F105" s="1025"/>
    </row>
    <row r="106" spans="5:6" ht="15" customHeight="1" x14ac:dyDescent="0.25">
      <c r="E106" s="1025"/>
      <c r="F106" s="1025"/>
    </row>
    <row r="107" spans="5:6" ht="15" customHeight="1" x14ac:dyDescent="0.25">
      <c r="E107" s="1025"/>
      <c r="F107" s="1025"/>
    </row>
    <row r="108" spans="5:6" ht="15" customHeight="1" x14ac:dyDescent="0.25">
      <c r="E108" s="1025"/>
      <c r="F108" s="1025"/>
    </row>
    <row r="109" spans="5:6" ht="15" customHeight="1" x14ac:dyDescent="0.25">
      <c r="E109" s="1025"/>
      <c r="F109" s="1025"/>
    </row>
    <row r="110" spans="5:6" ht="15" customHeight="1" x14ac:dyDescent="0.25">
      <c r="E110" s="1025"/>
      <c r="F110" s="1025"/>
    </row>
    <row r="111" spans="5:6" ht="15" customHeight="1" x14ac:dyDescent="0.25">
      <c r="E111" s="1025"/>
      <c r="F111" s="1025"/>
    </row>
    <row r="112" spans="5:6" ht="15" customHeight="1" x14ac:dyDescent="0.25">
      <c r="E112" s="1025"/>
      <c r="F112" s="1025"/>
    </row>
    <row r="113" spans="5:6" ht="15" customHeight="1" x14ac:dyDescent="0.25">
      <c r="E113" s="1025"/>
      <c r="F113" s="1025"/>
    </row>
    <row r="114" spans="5:6" ht="15" customHeight="1" x14ac:dyDescent="0.25">
      <c r="E114" s="1025"/>
      <c r="F114" s="1025"/>
    </row>
    <row r="115" spans="5:6" ht="15" customHeight="1" x14ac:dyDescent="0.25">
      <c r="E115" s="1025"/>
      <c r="F115" s="1025"/>
    </row>
    <row r="116" spans="5:6" ht="15" customHeight="1" x14ac:dyDescent="0.25">
      <c r="E116" s="1025"/>
      <c r="F116" s="1025"/>
    </row>
    <row r="117" spans="5:6" ht="15" customHeight="1" x14ac:dyDescent="0.25">
      <c r="E117" s="1025"/>
      <c r="F117" s="1025"/>
    </row>
    <row r="118" spans="5:6" ht="15" customHeight="1" x14ac:dyDescent="0.25">
      <c r="E118" s="1025"/>
      <c r="F118" s="1025"/>
    </row>
    <row r="119" spans="5:6" ht="15" customHeight="1" x14ac:dyDescent="0.25">
      <c r="E119" s="1025"/>
      <c r="F119" s="1025"/>
    </row>
    <row r="120" spans="5:6" ht="15" customHeight="1" x14ac:dyDescent="0.25">
      <c r="E120" s="1025"/>
      <c r="F120" s="1025"/>
    </row>
    <row r="121" spans="5:6" ht="15" customHeight="1" x14ac:dyDescent="0.25">
      <c r="E121" s="1025"/>
      <c r="F121" s="1025"/>
    </row>
    <row r="122" spans="5:6" ht="15" customHeight="1" x14ac:dyDescent="0.25">
      <c r="E122" s="1025"/>
      <c r="F122" s="1025"/>
    </row>
    <row r="123" spans="5:6" ht="15" customHeight="1" x14ac:dyDescent="0.25">
      <c r="E123" s="1025"/>
      <c r="F123" s="1025"/>
    </row>
    <row r="124" spans="5:6" ht="15" customHeight="1" x14ac:dyDescent="0.25">
      <c r="E124" s="1025"/>
      <c r="F124" s="1025"/>
    </row>
    <row r="125" spans="5:6" ht="15" customHeight="1" x14ac:dyDescent="0.25">
      <c r="E125" s="1025"/>
      <c r="F125" s="1025"/>
    </row>
    <row r="126" spans="5:6" ht="15" customHeight="1" x14ac:dyDescent="0.25">
      <c r="E126" s="1025"/>
      <c r="F126" s="1025"/>
    </row>
    <row r="127" spans="5:6" ht="15" customHeight="1" x14ac:dyDescent="0.25">
      <c r="E127" s="1025"/>
      <c r="F127" s="1025"/>
    </row>
    <row r="128" spans="5:6" ht="15" customHeight="1" x14ac:dyDescent="0.25">
      <c r="E128" s="1025"/>
      <c r="F128" s="1025"/>
    </row>
    <row r="129" spans="5:6" ht="15" customHeight="1" x14ac:dyDescent="0.25">
      <c r="E129" s="1025"/>
      <c r="F129" s="1025"/>
    </row>
    <row r="130" spans="5:6" ht="15" customHeight="1" x14ac:dyDescent="0.25">
      <c r="E130" s="1025"/>
      <c r="F130" s="1025"/>
    </row>
    <row r="131" spans="5:6" ht="15" customHeight="1" x14ac:dyDescent="0.25">
      <c r="E131" s="1025"/>
      <c r="F131" s="1025"/>
    </row>
    <row r="132" spans="5:6" ht="15" customHeight="1" x14ac:dyDescent="0.25">
      <c r="E132" s="1025"/>
      <c r="F132" s="1025"/>
    </row>
    <row r="133" spans="5:6" ht="15" customHeight="1" x14ac:dyDescent="0.25">
      <c r="E133" s="1025"/>
      <c r="F133" s="1025"/>
    </row>
    <row r="134" spans="5:6" ht="15" customHeight="1" x14ac:dyDescent="0.25">
      <c r="E134" s="1025"/>
      <c r="F134" s="1025"/>
    </row>
    <row r="135" spans="5:6" ht="15" customHeight="1" x14ac:dyDescent="0.25">
      <c r="E135" s="1025"/>
      <c r="F135" s="1025"/>
    </row>
    <row r="136" spans="5:6" ht="15" customHeight="1" x14ac:dyDescent="0.25">
      <c r="E136" s="1025"/>
      <c r="F136" s="1025"/>
    </row>
    <row r="137" spans="5:6" ht="15" customHeight="1" x14ac:dyDescent="0.25">
      <c r="E137" s="1025"/>
      <c r="F137" s="1025"/>
    </row>
    <row r="138" spans="5:6" ht="15" customHeight="1" x14ac:dyDescent="0.25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 x14ac:dyDescent="0.25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 x14ac:dyDescent="0.25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 x14ac:dyDescent="0.25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 x14ac:dyDescent="0.25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 x14ac:dyDescent="0.25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 x14ac:dyDescent="0.25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 x14ac:dyDescent="0.25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 x14ac:dyDescent="0.25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 x14ac:dyDescent="0.25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 x14ac:dyDescent="0.25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 x14ac:dyDescent="0.25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 x14ac:dyDescent="0.25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 x14ac:dyDescent="0.25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 x14ac:dyDescent="0.25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 x14ac:dyDescent="0.25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 x14ac:dyDescent="0.25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 x14ac:dyDescent="0.25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 x14ac:dyDescent="0.25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 x14ac:dyDescent="0.25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 x14ac:dyDescent="0.25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 x14ac:dyDescent="0.25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 x14ac:dyDescent="0.25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 x14ac:dyDescent="0.25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 x14ac:dyDescent="0.25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 x14ac:dyDescent="0.25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 x14ac:dyDescent="0.25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 x14ac:dyDescent="0.25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 x14ac:dyDescent="0.25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 x14ac:dyDescent="0.25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 x14ac:dyDescent="0.25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 x14ac:dyDescent="0.25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 x14ac:dyDescent="0.25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 x14ac:dyDescent="0.25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 x14ac:dyDescent="0.25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 x14ac:dyDescent="0.25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 x14ac:dyDescent="0.25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 x14ac:dyDescent="0.25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 x14ac:dyDescent="0.25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 x14ac:dyDescent="0.25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 x14ac:dyDescent="0.25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 x14ac:dyDescent="0.25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 x14ac:dyDescent="0.25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 x14ac:dyDescent="0.25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 x14ac:dyDescent="0.25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 x14ac:dyDescent="0.25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 x14ac:dyDescent="0.25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 x14ac:dyDescent="0.25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 x14ac:dyDescent="0.25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 x14ac:dyDescent="0.25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 x14ac:dyDescent="0.25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 x14ac:dyDescent="0.25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 x14ac:dyDescent="0.25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 x14ac:dyDescent="0.25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 x14ac:dyDescent="0.25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 x14ac:dyDescent="0.25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 x14ac:dyDescent="0.25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 x14ac:dyDescent="0.25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 x14ac:dyDescent="0.25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 x14ac:dyDescent="0.25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 x14ac:dyDescent="0.25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 x14ac:dyDescent="0.25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 x14ac:dyDescent="0.25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 x14ac:dyDescent="0.25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 x14ac:dyDescent="0.25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 x14ac:dyDescent="0.25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 x14ac:dyDescent="0.25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 x14ac:dyDescent="0.25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 x14ac:dyDescent="0.25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 x14ac:dyDescent="0.25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 x14ac:dyDescent="0.25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 x14ac:dyDescent="0.25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 x14ac:dyDescent="0.25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 x14ac:dyDescent="0.25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 x14ac:dyDescent="0.25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124</v>
      </c>
    </row>
    <row r="4" spans="2:16" ht="19.95" customHeight="1" x14ac:dyDescent="0.25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1.9435483870967742</v>
      </c>
    </row>
    <row r="5" spans="2:16" ht="19.95" customHeight="1" x14ac:dyDescent="0.25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21.097798853719759</v>
      </c>
    </row>
    <row r="7" spans="2:16" ht="30" customHeight="1" x14ac:dyDescent="0.25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 x14ac:dyDescent="0.25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 x14ac:dyDescent="0.2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 x14ac:dyDescent="0.2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 x14ac:dyDescent="0.25">
      <c r="B4" s="631" t="s">
        <v>3424</v>
      </c>
      <c r="C4" s="609">
        <f>C3*C2</f>
        <v>1000</v>
      </c>
      <c r="E4" s="622"/>
      <c r="F4" s="629"/>
    </row>
    <row r="5" spans="2:15" ht="13.8" thickBot="1" x14ac:dyDescent="0.3">
      <c r="B5" s="631"/>
      <c r="C5" s="609"/>
      <c r="E5" s="622"/>
      <c r="F5" s="629"/>
      <c r="K5" s="600" t="s">
        <v>3406</v>
      </c>
    </row>
    <row r="6" spans="2:15" ht="13.8" thickBot="1" x14ac:dyDescent="0.3">
      <c r="B6" s="1413" t="s">
        <v>3606</v>
      </c>
      <c r="C6" s="1414"/>
      <c r="E6" s="1413" t="s">
        <v>3499</v>
      </c>
      <c r="F6" s="1414"/>
      <c r="H6" s="1413" t="s">
        <v>3405</v>
      </c>
      <c r="I6" s="1414"/>
      <c r="K6" s="1413" t="s">
        <v>3525</v>
      </c>
      <c r="L6" s="1414"/>
      <c r="N6" s="1413" t="s">
        <v>3526</v>
      </c>
      <c r="O6" s="1414"/>
    </row>
    <row r="7" spans="2:15" x14ac:dyDescent="0.2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 x14ac:dyDescent="0.2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 x14ac:dyDescent="0.2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 x14ac:dyDescent="0.2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 x14ac:dyDescent="0.2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 x14ac:dyDescent="0.2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 x14ac:dyDescent="0.2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 x14ac:dyDescent="0.2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 x14ac:dyDescent="0.3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 x14ac:dyDescent="0.3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 x14ac:dyDescent="0.2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 x14ac:dyDescent="0.2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 x14ac:dyDescent="0.3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 x14ac:dyDescent="0.2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 x14ac:dyDescent="0.3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 x14ac:dyDescent="0.2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 x14ac:dyDescent="0.3"/>
    <row r="24" spans="2:15" ht="14.4" customHeight="1" thickBot="1" x14ac:dyDescent="0.3">
      <c r="B24" s="1413" t="s">
        <v>3413</v>
      </c>
      <c r="C24" s="1414"/>
      <c r="E24" s="1413" t="s">
        <v>3412</v>
      </c>
      <c r="F24" s="1414"/>
      <c r="H24" s="1413" t="s">
        <v>3402</v>
      </c>
      <c r="I24" s="1414"/>
      <c r="K24" s="1413" t="s">
        <v>3401</v>
      </c>
      <c r="L24" s="1414"/>
      <c r="N24" s="1413" t="s">
        <v>3527</v>
      </c>
      <c r="O24" s="1414"/>
    </row>
    <row r="25" spans="2:15" x14ac:dyDescent="0.2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 x14ac:dyDescent="0.2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 x14ac:dyDescent="0.2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 x14ac:dyDescent="0.2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 x14ac:dyDescent="0.2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 x14ac:dyDescent="0.2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 x14ac:dyDescent="0.2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 x14ac:dyDescent="0.2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 x14ac:dyDescent="0.3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 x14ac:dyDescent="0.3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 x14ac:dyDescent="0.2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 x14ac:dyDescent="0.2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 x14ac:dyDescent="0.3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 x14ac:dyDescent="0.2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 x14ac:dyDescent="0.3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 x14ac:dyDescent="0.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 x14ac:dyDescent="0.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 x14ac:dyDescent="0.3"/>
    <row r="5" spans="2:25" ht="13.8" thickBot="1" x14ac:dyDescent="0.3">
      <c r="B5" s="1413" t="s">
        <v>3403</v>
      </c>
      <c r="C5" s="1414"/>
      <c r="E5" s="1413" t="s">
        <v>3407</v>
      </c>
      <c r="F5" s="1414"/>
      <c r="H5" s="1413" t="s">
        <v>3405</v>
      </c>
      <c r="I5" s="1414"/>
      <c r="K5" s="1415" t="s">
        <v>3416</v>
      </c>
      <c r="L5" s="1416"/>
      <c r="N5" s="1413" t="s">
        <v>3412</v>
      </c>
      <c r="O5" s="1414"/>
      <c r="Q5" s="1413" t="s">
        <v>3413</v>
      </c>
      <c r="R5" s="1414"/>
      <c r="T5" s="1413" t="s">
        <v>3402</v>
      </c>
      <c r="U5" s="1414"/>
      <c r="W5" s="1413" t="s">
        <v>3401</v>
      </c>
      <c r="X5" s="1414"/>
    </row>
    <row r="6" spans="2:25" x14ac:dyDescent="0.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 x14ac:dyDescent="0.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 x14ac:dyDescent="0.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 x14ac:dyDescent="0.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 x14ac:dyDescent="0.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 x14ac:dyDescent="0.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 x14ac:dyDescent="0.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 x14ac:dyDescent="0.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 x14ac:dyDescent="0.3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 x14ac:dyDescent="0.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 x14ac:dyDescent="0.3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 x14ac:dyDescent="0.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 x14ac:dyDescent="0.3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 x14ac:dyDescent="0.3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 x14ac:dyDescent="0.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 x14ac:dyDescent="0.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 x14ac:dyDescent="0.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 x14ac:dyDescent="0.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 x14ac:dyDescent="0.3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 x14ac:dyDescent="0.3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 x14ac:dyDescent="0.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 x14ac:dyDescent="0.3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 x14ac:dyDescent="0.3">
      <c r="C30" s="603"/>
      <c r="F30" s="603"/>
      <c r="I30" s="603"/>
      <c r="L30" s="603"/>
      <c r="O30" s="603"/>
      <c r="R30" s="603"/>
      <c r="U30" s="603"/>
      <c r="X30" s="603"/>
    </row>
    <row r="31" spans="2:25" x14ac:dyDescent="0.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 x14ac:dyDescent="0.3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 x14ac:dyDescent="0.3"/>
    <row r="34" spans="2:27" x14ac:dyDescent="0.25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 x14ac:dyDescent="0.3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 x14ac:dyDescent="0.3"/>
    <row r="37" spans="2:27" x14ac:dyDescent="0.25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 x14ac:dyDescent="0.3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 x14ac:dyDescent="0.25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 x14ac:dyDescent="0.25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 x14ac:dyDescent="0.25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 x14ac:dyDescent="0.25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 x14ac:dyDescent="0.25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 x14ac:dyDescent="0.25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 x14ac:dyDescent="0.25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 x14ac:dyDescent="0.25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 x14ac:dyDescent="0.25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 x14ac:dyDescent="0.25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 x14ac:dyDescent="0.25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 x14ac:dyDescent="0.25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 x14ac:dyDescent="0.25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 x14ac:dyDescent="0.25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 x14ac:dyDescent="0.25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 x14ac:dyDescent="0.25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 x14ac:dyDescent="0.25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 x14ac:dyDescent="0.25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 x14ac:dyDescent="0.25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 x14ac:dyDescent="0.25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 x14ac:dyDescent="0.25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 x14ac:dyDescent="0.25">
      <c r="B2" s="67" t="s">
        <v>263</v>
      </c>
      <c r="C2" s="68">
        <v>100</v>
      </c>
    </row>
    <row r="3" spans="2:17" ht="15" customHeight="1" x14ac:dyDescent="0.25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 x14ac:dyDescent="0.25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 x14ac:dyDescent="0.25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 x14ac:dyDescent="0.25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 x14ac:dyDescent="0.25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 x14ac:dyDescent="0.25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 x14ac:dyDescent="0.25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 x14ac:dyDescent="0.25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 x14ac:dyDescent="0.25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 x14ac:dyDescent="0.25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 x14ac:dyDescent="0.25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 x14ac:dyDescent="0.25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 x14ac:dyDescent="0.25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 x14ac:dyDescent="0.25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 x14ac:dyDescent="0.25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 x14ac:dyDescent="0.25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 x14ac:dyDescent="0.25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83" t="s">
        <v>266</v>
      </c>
      <c r="H19" s="1384" t="s">
        <v>265</v>
      </c>
      <c r="I19" s="1384" t="s">
        <v>284</v>
      </c>
      <c r="J19" s="1384" t="s">
        <v>285</v>
      </c>
      <c r="K19" s="73"/>
      <c r="N19"/>
      <c r="O19"/>
    </row>
    <row r="20" spans="2:22" ht="15" customHeight="1" x14ac:dyDescent="0.25">
      <c r="B20" s="69">
        <v>45844</v>
      </c>
      <c r="C20" s="70">
        <v>7.8</v>
      </c>
      <c r="D20" s="68">
        <v>0</v>
      </c>
      <c r="E20" s="70">
        <f t="shared" si="0"/>
        <v>-100</v>
      </c>
      <c r="G20" s="1386" t="s">
        <v>268</v>
      </c>
      <c r="H20" s="1385">
        <v>-52.467278333620868</v>
      </c>
      <c r="I20" s="1387">
        <v>20</v>
      </c>
      <c r="J20" s="1387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 x14ac:dyDescent="0.25">
      <c r="B21" s="69">
        <v>45844</v>
      </c>
      <c r="C21" s="70">
        <v>13.5</v>
      </c>
      <c r="D21" s="68">
        <v>1</v>
      </c>
      <c r="E21" s="70">
        <f t="shared" si="0"/>
        <v>7.64</v>
      </c>
      <c r="G21" s="1386" t="s">
        <v>269</v>
      </c>
      <c r="H21" s="1385">
        <v>275.67452414820855</v>
      </c>
      <c r="I21" s="1387">
        <v>83</v>
      </c>
      <c r="J21" s="1387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83" t="s">
        <v>265</v>
      </c>
      <c r="O21" s="1383" t="s">
        <v>499</v>
      </c>
      <c r="P21" s="1384"/>
      <c r="Q21" s="1384"/>
      <c r="R21" s="1384"/>
      <c r="S21" s="1384"/>
      <c r="T21" s="1384"/>
      <c r="U21" s="1384"/>
      <c r="V21" s="1384"/>
    </row>
    <row r="22" spans="2:22" ht="15" customHeight="1" x14ac:dyDescent="0.25">
      <c r="B22" s="69">
        <v>45844</v>
      </c>
      <c r="C22" s="70">
        <v>9</v>
      </c>
      <c r="D22" s="68">
        <v>1</v>
      </c>
      <c r="E22" s="70">
        <f t="shared" si="0"/>
        <v>11.9375</v>
      </c>
      <c r="G22" s="1386" t="s">
        <v>270</v>
      </c>
      <c r="H22" s="1385">
        <v>-391.06425014057629</v>
      </c>
      <c r="I22" s="1387">
        <v>112</v>
      </c>
      <c r="J22" s="1387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83" t="s">
        <v>266</v>
      </c>
      <c r="O22" s="1388" t="s">
        <v>498</v>
      </c>
      <c r="P22" s="1388" t="s">
        <v>617</v>
      </c>
      <c r="Q22" s="1388" t="s">
        <v>500</v>
      </c>
      <c r="R22" s="1388" t="s">
        <v>501</v>
      </c>
      <c r="S22" s="1388" t="s">
        <v>502</v>
      </c>
      <c r="T22" s="1388" t="s">
        <v>503</v>
      </c>
      <c r="U22" s="1388" t="s">
        <v>451</v>
      </c>
      <c r="V22" s="1388" t="s">
        <v>267</v>
      </c>
    </row>
    <row r="23" spans="2:22" ht="15" customHeight="1" x14ac:dyDescent="0.25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86" t="s">
        <v>271</v>
      </c>
      <c r="H23" s="1385">
        <v>51.842105263157933</v>
      </c>
      <c r="I23" s="1387">
        <v>37</v>
      </c>
      <c r="J23" s="1387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86" t="s">
        <v>268</v>
      </c>
      <c r="O23" s="1385"/>
      <c r="P23" s="1385">
        <v>-142.97237076648844</v>
      </c>
      <c r="Q23" s="1385">
        <v>43.435689616755795</v>
      </c>
      <c r="R23" s="1385">
        <v>45.2761485826002</v>
      </c>
      <c r="S23" s="1385">
        <v>-56.564310383244205</v>
      </c>
      <c r="T23" s="1385">
        <v>14.921875</v>
      </c>
      <c r="U23" s="1385">
        <v>43.435689616755795</v>
      </c>
      <c r="V23" s="1385">
        <v>-52.467278333620854</v>
      </c>
    </row>
    <row r="24" spans="2:22" ht="15" customHeight="1" x14ac:dyDescent="0.25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86" t="s">
        <v>272</v>
      </c>
      <c r="H24" s="1385">
        <v>50.261904761904809</v>
      </c>
      <c r="I24" s="1387">
        <v>64</v>
      </c>
      <c r="J24" s="1387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86" t="s">
        <v>269</v>
      </c>
      <c r="O24" s="1385">
        <v>-110.26575794996847</v>
      </c>
      <c r="P24" s="1385">
        <v>141.03511529169424</v>
      </c>
      <c r="Q24" s="1385">
        <v>68.432749406433629</v>
      </c>
      <c r="R24" s="1385">
        <v>-131.41680778522883</v>
      </c>
      <c r="S24" s="1385">
        <v>100.59743194611615</v>
      </c>
      <c r="T24" s="1385">
        <v>26.40824275692697</v>
      </c>
      <c r="U24" s="1385">
        <v>180.88355048223468</v>
      </c>
      <c r="V24" s="1385">
        <v>275.67452414820838</v>
      </c>
    </row>
    <row r="25" spans="2:22" ht="15" customHeight="1" x14ac:dyDescent="0.25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86" t="s">
        <v>273</v>
      </c>
      <c r="H25" s="1385">
        <v>-340.99604743083029</v>
      </c>
      <c r="I25" s="1387">
        <v>62</v>
      </c>
      <c r="J25" s="1387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86" t="s">
        <v>270</v>
      </c>
      <c r="O25" s="1385">
        <v>-140.18740868698325</v>
      </c>
      <c r="P25" s="1385">
        <v>82.932214741205101</v>
      </c>
      <c r="Q25" s="1385">
        <v>151.0094950190668</v>
      </c>
      <c r="R25" s="1385">
        <v>62.907231653296606</v>
      </c>
      <c r="S25" s="1385">
        <v>12.50878231713455</v>
      </c>
      <c r="T25" s="1385">
        <v>-264.28714567480165</v>
      </c>
      <c r="U25" s="1385">
        <v>-295.94741950949413</v>
      </c>
      <c r="V25" s="1385">
        <v>-391.06425014057595</v>
      </c>
    </row>
    <row r="26" spans="2:22" ht="15" customHeight="1" x14ac:dyDescent="0.25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86" t="s">
        <v>274</v>
      </c>
      <c r="H26" s="1385">
        <v>97.279999999999987</v>
      </c>
      <c r="I26" s="1387">
        <v>54</v>
      </c>
      <c r="J26" s="1387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86" t="s">
        <v>271</v>
      </c>
      <c r="O26" s="1385">
        <v>31.274853801169591</v>
      </c>
      <c r="P26" s="1385">
        <v>-59.78947368421052</v>
      </c>
      <c r="Q26" s="1385">
        <v>93.266081871345037</v>
      </c>
      <c r="R26" s="1385">
        <v>62.549707602339183</v>
      </c>
      <c r="S26" s="1385">
        <v>31.274853801169591</v>
      </c>
      <c r="T26" s="1385">
        <v>-47.502923976608173</v>
      </c>
      <c r="U26" s="1385">
        <v>-59.230994152046776</v>
      </c>
      <c r="V26" s="1385">
        <v>51.842105263157919</v>
      </c>
    </row>
    <row r="27" spans="2:22" ht="15" customHeight="1" x14ac:dyDescent="0.25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86" t="s">
        <v>275</v>
      </c>
      <c r="H27" s="1385">
        <v>-190.77065527065528</v>
      </c>
      <c r="I27" s="1387">
        <v>33</v>
      </c>
      <c r="J27" s="1387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86" t="s">
        <v>272</v>
      </c>
      <c r="O27" s="1385">
        <v>56.390476190476178</v>
      </c>
      <c r="P27" s="1385">
        <v>45.930952380952377</v>
      </c>
      <c r="Q27" s="1385">
        <v>12.326190476190467</v>
      </c>
      <c r="R27" s="1385">
        <v>-116.77857142857144</v>
      </c>
      <c r="S27" s="1385">
        <v>-135.42380952380952</v>
      </c>
      <c r="T27" s="1385">
        <v>103.68571428571427</v>
      </c>
      <c r="U27" s="1385">
        <v>84.13095238095238</v>
      </c>
      <c r="V27" s="1385">
        <v>50.261904761904688</v>
      </c>
    </row>
    <row r="28" spans="2:22" ht="15" customHeight="1" x14ac:dyDescent="0.25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86" t="s">
        <v>276</v>
      </c>
      <c r="H28" s="1385">
        <v>-58.66256157635469</v>
      </c>
      <c r="I28" s="1387">
        <v>39</v>
      </c>
      <c r="J28" s="1387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86" t="s">
        <v>273</v>
      </c>
      <c r="O28" s="1385">
        <v>-40.359683794466413</v>
      </c>
      <c r="P28" s="1385">
        <v>-239.9822134387351</v>
      </c>
      <c r="Q28" s="1385">
        <v>-157.72332015810275</v>
      </c>
      <c r="R28" s="1385">
        <v>-23.373517786561266</v>
      </c>
      <c r="S28" s="1385">
        <v>76.249011857707501</v>
      </c>
      <c r="T28" s="1385">
        <v>76.249011857707501</v>
      </c>
      <c r="U28" s="1385">
        <v>-32.055335968379445</v>
      </c>
      <c r="V28" s="1385">
        <v>-340.99604743082995</v>
      </c>
    </row>
    <row r="29" spans="2:22" ht="15" customHeight="1" x14ac:dyDescent="0.25">
      <c r="B29" s="69">
        <v>45846</v>
      </c>
      <c r="C29" s="70">
        <v>10</v>
      </c>
      <c r="D29" s="68">
        <v>0</v>
      </c>
      <c r="E29" s="70">
        <f t="shared" si="0"/>
        <v>-100</v>
      </c>
      <c r="G29" s="1386" t="s">
        <v>277</v>
      </c>
      <c r="H29" s="1385">
        <v>5.7688172043010475</v>
      </c>
      <c r="I29" s="1387">
        <v>18</v>
      </c>
      <c r="J29" s="1387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86" t="s">
        <v>274</v>
      </c>
      <c r="O29" s="1385">
        <v>38.518333333333331</v>
      </c>
      <c r="P29" s="1385">
        <v>100.91166666666666</v>
      </c>
      <c r="Q29" s="1385">
        <v>-21.371666666666655</v>
      </c>
      <c r="R29" s="1385">
        <v>-69.12166666666667</v>
      </c>
      <c r="S29" s="1385">
        <v>54.435000000000002</v>
      </c>
      <c r="T29" s="1385">
        <v>-45.24666666666667</v>
      </c>
      <c r="U29" s="1385">
        <v>39.155000000000001</v>
      </c>
      <c r="V29" s="1385">
        <v>97.280000000000015</v>
      </c>
    </row>
    <row r="30" spans="2:22" ht="15" customHeight="1" x14ac:dyDescent="0.25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86" t="s">
        <v>278</v>
      </c>
      <c r="H30" s="1385">
        <v>-164.52746212121215</v>
      </c>
      <c r="I30" s="1387">
        <v>26</v>
      </c>
      <c r="J30" s="1387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86" t="s">
        <v>275</v>
      </c>
      <c r="O30" s="1385">
        <v>43.260683760683754</v>
      </c>
      <c r="P30" s="1385">
        <v>29.384615384615383</v>
      </c>
      <c r="Q30" s="1385">
        <v>-35.245014245014247</v>
      </c>
      <c r="R30" s="1385">
        <v>-192.92592592592592</v>
      </c>
      <c r="S30" s="1385">
        <v>28.840455840455839</v>
      </c>
      <c r="T30" s="1385">
        <v>-85.851851851851848</v>
      </c>
      <c r="U30" s="1385">
        <v>21.766381766381766</v>
      </c>
      <c r="V30" s="1385">
        <v>-190.77065527065531</v>
      </c>
    </row>
    <row r="31" spans="2:22" ht="15" customHeight="1" x14ac:dyDescent="0.25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86" t="s">
        <v>279</v>
      </c>
      <c r="H31" s="1385">
        <v>4.9697478991596569</v>
      </c>
      <c r="I31" s="1387">
        <v>20</v>
      </c>
      <c r="J31" s="1387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86" t="s">
        <v>276</v>
      </c>
      <c r="O31" s="1385">
        <v>33.166256157635466</v>
      </c>
      <c r="P31" s="1385">
        <v>-53.190886699507402</v>
      </c>
      <c r="Q31" s="1385">
        <v>46.809113300492605</v>
      </c>
      <c r="R31" s="1385">
        <v>60.687192118226591</v>
      </c>
      <c r="S31" s="1385">
        <v>13.407635467980295</v>
      </c>
      <c r="T31" s="1385">
        <v>-66.363300492610833</v>
      </c>
      <c r="U31" s="1385">
        <v>-93.178571428571431</v>
      </c>
      <c r="V31" s="1385">
        <v>-58.662561576354705</v>
      </c>
    </row>
    <row r="32" spans="2:22" ht="15" customHeight="1" x14ac:dyDescent="0.25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86" t="s">
        <v>280</v>
      </c>
      <c r="H32" s="1385">
        <v>57.500750750750754</v>
      </c>
      <c r="I32" s="1387">
        <v>11</v>
      </c>
      <c r="J32" s="1387">
        <v>11</v>
      </c>
      <c r="K32" s="75">
        <f t="shared" si="1"/>
        <v>1</v>
      </c>
      <c r="N32" s="1386" t="s">
        <v>277</v>
      </c>
      <c r="O32" s="1385">
        <v>18.483870967741932</v>
      </c>
      <c r="P32" s="1385"/>
      <c r="Q32" s="1385">
        <v>37.58387096774193</v>
      </c>
      <c r="R32" s="1385">
        <v>6.1612903225806441</v>
      </c>
      <c r="S32" s="1385">
        <v>12.322580645161288</v>
      </c>
      <c r="T32" s="1385">
        <v>-74.944086021505399</v>
      </c>
      <c r="U32" s="1385">
        <v>6.1612903225806441</v>
      </c>
      <c r="V32" s="1385">
        <v>5.7688172043010333</v>
      </c>
    </row>
    <row r="33" spans="2:22" ht="15" customHeight="1" x14ac:dyDescent="0.25">
      <c r="B33" s="69">
        <v>45847</v>
      </c>
      <c r="C33" s="70">
        <v>13.5</v>
      </c>
      <c r="D33" s="68">
        <v>1</v>
      </c>
      <c r="E33" s="70">
        <f t="shared" si="0"/>
        <v>7.64</v>
      </c>
      <c r="G33" s="1386" t="s">
        <v>281</v>
      </c>
      <c r="H33" s="1385">
        <v>-59.78947368421052</v>
      </c>
      <c r="I33" s="1387">
        <v>9</v>
      </c>
      <c r="J33" s="1387">
        <v>8</v>
      </c>
      <c r="K33" s="75">
        <f t="shared" si="1"/>
        <v>0.88888888888888884</v>
      </c>
      <c r="N33" s="1386" t="s">
        <v>278</v>
      </c>
      <c r="O33" s="1385">
        <v>35.269886363636367</v>
      </c>
      <c r="P33" s="1385">
        <v>-182.27462121212122</v>
      </c>
      <c r="Q33" s="1385">
        <v>11.575757575757574</v>
      </c>
      <c r="R33" s="1385">
        <v>-82.455492424242436</v>
      </c>
      <c r="S33" s="1385">
        <v>17.725378787878789</v>
      </c>
      <c r="T33" s="1385">
        <v>11.756628787878787</v>
      </c>
      <c r="U33" s="1385">
        <v>23.875</v>
      </c>
      <c r="V33" s="1385">
        <v>-164.52746212121215</v>
      </c>
    </row>
    <row r="34" spans="2:22" ht="15" customHeight="1" x14ac:dyDescent="0.25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86" t="s">
        <v>282</v>
      </c>
      <c r="H34" s="1385">
        <v>33.424999999999997</v>
      </c>
      <c r="I34" s="1387">
        <v>7</v>
      </c>
      <c r="J34" s="1387">
        <v>7</v>
      </c>
      <c r="K34" s="75">
        <f t="shared" si="1"/>
        <v>1</v>
      </c>
      <c r="N34" s="1386" t="s">
        <v>279</v>
      </c>
      <c r="O34" s="1385">
        <v>10.914285714285715</v>
      </c>
      <c r="P34" s="1385">
        <v>22.310084033613446</v>
      </c>
      <c r="Q34" s="1385">
        <v>21.989075630252103</v>
      </c>
      <c r="R34" s="1385">
        <v>11.074789915966388</v>
      </c>
      <c r="S34" s="1385">
        <v>16.692436974789917</v>
      </c>
      <c r="T34" s="1385">
        <v>5.4571428571428573</v>
      </c>
      <c r="U34" s="1385">
        <v>-83.468067226890753</v>
      </c>
      <c r="V34" s="1385">
        <v>4.9697478991596711</v>
      </c>
    </row>
    <row r="35" spans="2:22" ht="15" customHeight="1" x14ac:dyDescent="0.25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86" t="s">
        <v>283</v>
      </c>
      <c r="H35" s="1385">
        <v>72.348484848484873</v>
      </c>
      <c r="I35" s="1387">
        <v>16</v>
      </c>
      <c r="J35" s="1387">
        <v>16</v>
      </c>
      <c r="K35" s="75">
        <f t="shared" si="1"/>
        <v>1</v>
      </c>
      <c r="N35" s="1386" t="s">
        <v>280</v>
      </c>
      <c r="O35" s="1385">
        <v>5.1621621621621614</v>
      </c>
      <c r="P35" s="1385">
        <v>5.3055555555555554</v>
      </c>
      <c r="Q35" s="1385">
        <v>25.954204204204203</v>
      </c>
      <c r="R35" s="1385"/>
      <c r="S35" s="1385"/>
      <c r="T35" s="1385">
        <v>5.1621621621621614</v>
      </c>
      <c r="U35" s="1385">
        <v>15.916666666666666</v>
      </c>
      <c r="V35" s="1385">
        <v>57.500750750750747</v>
      </c>
    </row>
    <row r="36" spans="2:22" ht="15" customHeight="1" x14ac:dyDescent="0.25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86" t="s">
        <v>286</v>
      </c>
      <c r="H36" s="1385">
        <v>41.275090045381155</v>
      </c>
      <c r="I36" s="1387">
        <v>41</v>
      </c>
      <c r="J36" s="1387">
        <v>40</v>
      </c>
      <c r="K36" s="75">
        <f t="shared" si="1"/>
        <v>0.97560975609756095</v>
      </c>
      <c r="N36" s="1386" t="s">
        <v>281</v>
      </c>
      <c r="O36" s="1385"/>
      <c r="P36" s="1385">
        <v>5.0263157894736841</v>
      </c>
      <c r="Q36" s="1385">
        <v>-100</v>
      </c>
      <c r="R36" s="1385">
        <v>5.0263157894736841</v>
      </c>
      <c r="S36" s="1385">
        <v>5.0263157894736841</v>
      </c>
      <c r="T36" s="1385">
        <v>10.052631578947368</v>
      </c>
      <c r="U36" s="1385">
        <v>15.078947368421051</v>
      </c>
      <c r="V36" s="1385">
        <v>-59.78947368421052</v>
      </c>
    </row>
    <row r="37" spans="2:22" ht="15" customHeight="1" x14ac:dyDescent="0.25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86" t="s">
        <v>267</v>
      </c>
      <c r="H37" s="1385">
        <v>-567.93130363611226</v>
      </c>
      <c r="I37" s="1387">
        <v>652</v>
      </c>
      <c r="J37" s="1387">
        <v>594</v>
      </c>
      <c r="K37" s="75"/>
      <c r="N37" s="1386" t="s">
        <v>282</v>
      </c>
      <c r="O37" s="1385">
        <v>4.7749999999999995</v>
      </c>
      <c r="P37" s="1385"/>
      <c r="Q37" s="1385">
        <v>9.5499999999999989</v>
      </c>
      <c r="R37" s="1385">
        <v>9.5499999999999989</v>
      </c>
      <c r="S37" s="1385"/>
      <c r="T37" s="1385">
        <v>4.7749999999999995</v>
      </c>
      <c r="U37" s="1385">
        <v>4.7749999999999995</v>
      </c>
      <c r="V37" s="1385">
        <v>33.424999999999997</v>
      </c>
    </row>
    <row r="38" spans="2:22" ht="15" customHeight="1" x14ac:dyDescent="0.25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86" t="s">
        <v>283</v>
      </c>
      <c r="O38" s="1385"/>
      <c r="P38" s="1385">
        <v>13.436147186147185</v>
      </c>
      <c r="Q38" s="1385">
        <v>9.0952380952380949</v>
      </c>
      <c r="R38" s="1385">
        <v>8.8885281385281374</v>
      </c>
      <c r="S38" s="1385">
        <v>31.833333333333332</v>
      </c>
      <c r="T38" s="1385">
        <v>4.5476190476190474</v>
      </c>
      <c r="U38" s="1385">
        <v>4.5476190476190474</v>
      </c>
      <c r="V38" s="1385">
        <v>72.348484848484844</v>
      </c>
    </row>
    <row r="39" spans="2:22" ht="15" customHeight="1" x14ac:dyDescent="0.25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86" t="s">
        <v>286</v>
      </c>
      <c r="O39" s="1385">
        <v>17.436706485024061</v>
      </c>
      <c r="P39" s="1385">
        <v>-66.928982867359451</v>
      </c>
      <c r="Q39" s="1385">
        <v>22.534490923730051</v>
      </c>
      <c r="R39" s="1385">
        <v>10.693106060606061</v>
      </c>
      <c r="S39" s="1385">
        <v>18.832085921325049</v>
      </c>
      <c r="T39" s="1385">
        <v>23.623081219595942</v>
      </c>
      <c r="U39" s="1385">
        <v>15.084602302459448</v>
      </c>
      <c r="V39" s="1385">
        <v>41.275090045381162</v>
      </c>
    </row>
    <row r="40" spans="2:22" ht="15" customHeight="1" x14ac:dyDescent="0.25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86" t="s">
        <v>267</v>
      </c>
      <c r="O40" s="1385">
        <v>3.8396645047304396</v>
      </c>
      <c r="P40" s="1385">
        <v>-298.86588163849854</v>
      </c>
      <c r="Q40" s="1385">
        <v>239.22195601742462</v>
      </c>
      <c r="R40" s="1385">
        <v>-333.25767183357897</v>
      </c>
      <c r="S40" s="1385">
        <v>227.75718277547224</v>
      </c>
      <c r="T40" s="1385">
        <v>-297.55686513034971</v>
      </c>
      <c r="U40" s="1385">
        <v>-109.06968833131107</v>
      </c>
      <c r="V40" s="1385">
        <v>-567.93130363611101</v>
      </c>
    </row>
    <row r="41" spans="2:22" ht="15" customHeight="1" x14ac:dyDescent="0.25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 x14ac:dyDescent="0.25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 x14ac:dyDescent="0.25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 x14ac:dyDescent="0.25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 x14ac:dyDescent="0.25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 x14ac:dyDescent="0.25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 x14ac:dyDescent="0.25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 x14ac:dyDescent="0.25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 x14ac:dyDescent="0.25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 x14ac:dyDescent="0.25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 x14ac:dyDescent="0.25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 x14ac:dyDescent="0.25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 x14ac:dyDescent="0.25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 x14ac:dyDescent="0.25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 x14ac:dyDescent="0.25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 x14ac:dyDescent="0.25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 x14ac:dyDescent="0.25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 x14ac:dyDescent="0.25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 x14ac:dyDescent="0.25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 x14ac:dyDescent="0.25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 x14ac:dyDescent="0.25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 x14ac:dyDescent="0.25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 x14ac:dyDescent="0.25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 x14ac:dyDescent="0.25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 x14ac:dyDescent="0.25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 x14ac:dyDescent="0.25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 x14ac:dyDescent="0.25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 x14ac:dyDescent="0.25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 x14ac:dyDescent="0.25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 x14ac:dyDescent="0.25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 x14ac:dyDescent="0.25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 x14ac:dyDescent="0.25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 x14ac:dyDescent="0.25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 x14ac:dyDescent="0.25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 x14ac:dyDescent="0.25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 x14ac:dyDescent="0.25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 x14ac:dyDescent="0.25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 x14ac:dyDescent="0.25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 x14ac:dyDescent="0.25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 x14ac:dyDescent="0.25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 x14ac:dyDescent="0.25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 x14ac:dyDescent="0.25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 x14ac:dyDescent="0.25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 x14ac:dyDescent="0.25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 x14ac:dyDescent="0.25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 x14ac:dyDescent="0.25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 x14ac:dyDescent="0.25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 x14ac:dyDescent="0.25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 x14ac:dyDescent="0.25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 x14ac:dyDescent="0.25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 x14ac:dyDescent="0.25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 x14ac:dyDescent="0.25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 x14ac:dyDescent="0.25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 x14ac:dyDescent="0.25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 x14ac:dyDescent="0.25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 x14ac:dyDescent="0.25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 x14ac:dyDescent="0.25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 x14ac:dyDescent="0.25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 x14ac:dyDescent="0.25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 x14ac:dyDescent="0.25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 x14ac:dyDescent="0.25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 x14ac:dyDescent="0.25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 x14ac:dyDescent="0.25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 x14ac:dyDescent="0.25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 x14ac:dyDescent="0.25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 x14ac:dyDescent="0.25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 x14ac:dyDescent="0.25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 x14ac:dyDescent="0.25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 x14ac:dyDescent="0.25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 x14ac:dyDescent="0.25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 x14ac:dyDescent="0.25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 x14ac:dyDescent="0.25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 x14ac:dyDescent="0.25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 x14ac:dyDescent="0.25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 x14ac:dyDescent="0.25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 x14ac:dyDescent="0.25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 x14ac:dyDescent="0.25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 x14ac:dyDescent="0.25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 x14ac:dyDescent="0.25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 x14ac:dyDescent="0.25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 x14ac:dyDescent="0.25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 x14ac:dyDescent="0.25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 x14ac:dyDescent="0.25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 x14ac:dyDescent="0.25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 x14ac:dyDescent="0.25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 x14ac:dyDescent="0.25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 x14ac:dyDescent="0.25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 x14ac:dyDescent="0.25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 x14ac:dyDescent="0.25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 x14ac:dyDescent="0.25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 x14ac:dyDescent="0.25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 x14ac:dyDescent="0.25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 x14ac:dyDescent="0.25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 x14ac:dyDescent="0.25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 x14ac:dyDescent="0.25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 x14ac:dyDescent="0.25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 x14ac:dyDescent="0.25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 x14ac:dyDescent="0.25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 x14ac:dyDescent="0.25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 x14ac:dyDescent="0.25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 x14ac:dyDescent="0.25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 x14ac:dyDescent="0.25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 x14ac:dyDescent="0.25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 x14ac:dyDescent="0.25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 x14ac:dyDescent="0.25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 x14ac:dyDescent="0.25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 x14ac:dyDescent="0.25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 x14ac:dyDescent="0.25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 x14ac:dyDescent="0.25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 x14ac:dyDescent="0.25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 x14ac:dyDescent="0.25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 x14ac:dyDescent="0.25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 x14ac:dyDescent="0.25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 x14ac:dyDescent="0.25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 x14ac:dyDescent="0.25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 x14ac:dyDescent="0.25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 x14ac:dyDescent="0.25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 x14ac:dyDescent="0.25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 x14ac:dyDescent="0.25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 x14ac:dyDescent="0.25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 x14ac:dyDescent="0.25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 x14ac:dyDescent="0.25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 x14ac:dyDescent="0.25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 x14ac:dyDescent="0.25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 x14ac:dyDescent="0.25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 x14ac:dyDescent="0.25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 x14ac:dyDescent="0.25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 x14ac:dyDescent="0.25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 x14ac:dyDescent="0.25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 x14ac:dyDescent="0.25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 x14ac:dyDescent="0.25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 x14ac:dyDescent="0.25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 x14ac:dyDescent="0.25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 x14ac:dyDescent="0.25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 x14ac:dyDescent="0.25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 x14ac:dyDescent="0.25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 x14ac:dyDescent="0.25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 x14ac:dyDescent="0.25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 x14ac:dyDescent="0.25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 x14ac:dyDescent="0.25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 x14ac:dyDescent="0.25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 x14ac:dyDescent="0.25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 x14ac:dyDescent="0.25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 x14ac:dyDescent="0.25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 x14ac:dyDescent="0.25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 x14ac:dyDescent="0.25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 x14ac:dyDescent="0.25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 x14ac:dyDescent="0.25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 x14ac:dyDescent="0.25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 x14ac:dyDescent="0.25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 x14ac:dyDescent="0.25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 x14ac:dyDescent="0.25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 x14ac:dyDescent="0.25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 x14ac:dyDescent="0.25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 x14ac:dyDescent="0.25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 x14ac:dyDescent="0.25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 x14ac:dyDescent="0.25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 x14ac:dyDescent="0.25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 x14ac:dyDescent="0.25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 x14ac:dyDescent="0.25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 x14ac:dyDescent="0.25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 x14ac:dyDescent="0.25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 x14ac:dyDescent="0.25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 x14ac:dyDescent="0.25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 x14ac:dyDescent="0.25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 x14ac:dyDescent="0.25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 x14ac:dyDescent="0.25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 x14ac:dyDescent="0.25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 x14ac:dyDescent="0.25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 x14ac:dyDescent="0.25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 x14ac:dyDescent="0.25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 x14ac:dyDescent="0.25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 x14ac:dyDescent="0.25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 x14ac:dyDescent="0.25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 x14ac:dyDescent="0.25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 x14ac:dyDescent="0.25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 x14ac:dyDescent="0.25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 x14ac:dyDescent="0.25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 x14ac:dyDescent="0.25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 x14ac:dyDescent="0.25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 x14ac:dyDescent="0.25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 x14ac:dyDescent="0.25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 x14ac:dyDescent="0.25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 x14ac:dyDescent="0.25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 x14ac:dyDescent="0.25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 x14ac:dyDescent="0.25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 x14ac:dyDescent="0.25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 x14ac:dyDescent="0.25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 x14ac:dyDescent="0.25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 x14ac:dyDescent="0.25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 x14ac:dyDescent="0.25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 x14ac:dyDescent="0.25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 x14ac:dyDescent="0.25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 x14ac:dyDescent="0.25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 x14ac:dyDescent="0.25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 x14ac:dyDescent="0.25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 x14ac:dyDescent="0.25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 x14ac:dyDescent="0.25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 x14ac:dyDescent="0.25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 x14ac:dyDescent="0.25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 x14ac:dyDescent="0.25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 x14ac:dyDescent="0.25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 x14ac:dyDescent="0.25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 x14ac:dyDescent="0.25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 x14ac:dyDescent="0.25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 x14ac:dyDescent="0.25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 x14ac:dyDescent="0.25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 x14ac:dyDescent="0.25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 x14ac:dyDescent="0.25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 x14ac:dyDescent="0.25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 x14ac:dyDescent="0.25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 x14ac:dyDescent="0.25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 x14ac:dyDescent="0.25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 x14ac:dyDescent="0.25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 x14ac:dyDescent="0.25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 x14ac:dyDescent="0.25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 x14ac:dyDescent="0.25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 x14ac:dyDescent="0.25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 x14ac:dyDescent="0.25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 x14ac:dyDescent="0.25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 x14ac:dyDescent="0.25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 x14ac:dyDescent="0.25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 x14ac:dyDescent="0.25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 x14ac:dyDescent="0.25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 x14ac:dyDescent="0.25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 x14ac:dyDescent="0.25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 x14ac:dyDescent="0.25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 x14ac:dyDescent="0.25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 x14ac:dyDescent="0.25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 x14ac:dyDescent="0.25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 x14ac:dyDescent="0.25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 x14ac:dyDescent="0.25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 x14ac:dyDescent="0.25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 x14ac:dyDescent="0.25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 x14ac:dyDescent="0.25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 x14ac:dyDescent="0.25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 x14ac:dyDescent="0.25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 x14ac:dyDescent="0.25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 x14ac:dyDescent="0.25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 x14ac:dyDescent="0.25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 x14ac:dyDescent="0.25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 x14ac:dyDescent="0.25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 x14ac:dyDescent="0.25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 x14ac:dyDescent="0.25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 x14ac:dyDescent="0.25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 x14ac:dyDescent="0.25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 x14ac:dyDescent="0.25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 x14ac:dyDescent="0.25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 x14ac:dyDescent="0.25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 x14ac:dyDescent="0.25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 x14ac:dyDescent="0.25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 x14ac:dyDescent="0.25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 x14ac:dyDescent="0.25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 x14ac:dyDescent="0.25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 x14ac:dyDescent="0.25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 x14ac:dyDescent="0.25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 x14ac:dyDescent="0.25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 x14ac:dyDescent="0.25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 x14ac:dyDescent="0.25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 x14ac:dyDescent="0.25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 x14ac:dyDescent="0.25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 x14ac:dyDescent="0.25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 x14ac:dyDescent="0.25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 x14ac:dyDescent="0.25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 x14ac:dyDescent="0.25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 x14ac:dyDescent="0.25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 x14ac:dyDescent="0.25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 x14ac:dyDescent="0.25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 x14ac:dyDescent="0.25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 x14ac:dyDescent="0.25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 x14ac:dyDescent="0.25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 x14ac:dyDescent="0.25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 x14ac:dyDescent="0.25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 x14ac:dyDescent="0.25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 x14ac:dyDescent="0.25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 x14ac:dyDescent="0.25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 x14ac:dyDescent="0.25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 x14ac:dyDescent="0.25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 x14ac:dyDescent="0.25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 x14ac:dyDescent="0.25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 x14ac:dyDescent="0.25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 x14ac:dyDescent="0.25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 x14ac:dyDescent="0.25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 x14ac:dyDescent="0.25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 x14ac:dyDescent="0.25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 x14ac:dyDescent="0.25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 x14ac:dyDescent="0.25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 x14ac:dyDescent="0.25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 x14ac:dyDescent="0.25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 x14ac:dyDescent="0.25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 x14ac:dyDescent="0.25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 x14ac:dyDescent="0.25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 x14ac:dyDescent="0.25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 x14ac:dyDescent="0.25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 x14ac:dyDescent="0.25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 x14ac:dyDescent="0.25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 x14ac:dyDescent="0.25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 x14ac:dyDescent="0.25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 x14ac:dyDescent="0.25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 x14ac:dyDescent="0.25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 x14ac:dyDescent="0.25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 x14ac:dyDescent="0.25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 x14ac:dyDescent="0.25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 x14ac:dyDescent="0.25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 x14ac:dyDescent="0.25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 x14ac:dyDescent="0.25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 x14ac:dyDescent="0.25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 x14ac:dyDescent="0.25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 x14ac:dyDescent="0.25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 x14ac:dyDescent="0.25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 x14ac:dyDescent="0.25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 x14ac:dyDescent="0.25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 x14ac:dyDescent="0.25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 x14ac:dyDescent="0.25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 x14ac:dyDescent="0.25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 x14ac:dyDescent="0.25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 x14ac:dyDescent="0.25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 x14ac:dyDescent="0.25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 x14ac:dyDescent="0.25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 x14ac:dyDescent="0.25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 x14ac:dyDescent="0.25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 x14ac:dyDescent="0.25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 x14ac:dyDescent="0.25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 x14ac:dyDescent="0.25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 x14ac:dyDescent="0.25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 x14ac:dyDescent="0.25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 x14ac:dyDescent="0.25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 x14ac:dyDescent="0.25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 x14ac:dyDescent="0.25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 x14ac:dyDescent="0.25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 x14ac:dyDescent="0.25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 x14ac:dyDescent="0.25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 x14ac:dyDescent="0.25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 x14ac:dyDescent="0.25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 x14ac:dyDescent="0.25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 x14ac:dyDescent="0.25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 x14ac:dyDescent="0.25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 x14ac:dyDescent="0.25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 x14ac:dyDescent="0.25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 x14ac:dyDescent="0.25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 x14ac:dyDescent="0.25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 x14ac:dyDescent="0.25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 x14ac:dyDescent="0.25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 x14ac:dyDescent="0.25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 x14ac:dyDescent="0.25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 x14ac:dyDescent="0.25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 x14ac:dyDescent="0.25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 x14ac:dyDescent="0.25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 x14ac:dyDescent="0.25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 x14ac:dyDescent="0.25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 x14ac:dyDescent="0.25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 x14ac:dyDescent="0.25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 x14ac:dyDescent="0.25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 x14ac:dyDescent="0.25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 x14ac:dyDescent="0.25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 x14ac:dyDescent="0.25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 x14ac:dyDescent="0.25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 x14ac:dyDescent="0.25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 x14ac:dyDescent="0.25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 x14ac:dyDescent="0.25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 x14ac:dyDescent="0.25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 x14ac:dyDescent="0.25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 x14ac:dyDescent="0.25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 x14ac:dyDescent="0.25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 x14ac:dyDescent="0.25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 x14ac:dyDescent="0.25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 x14ac:dyDescent="0.25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 x14ac:dyDescent="0.25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 x14ac:dyDescent="0.25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 x14ac:dyDescent="0.25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 x14ac:dyDescent="0.25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 x14ac:dyDescent="0.25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 x14ac:dyDescent="0.25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 x14ac:dyDescent="0.25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 x14ac:dyDescent="0.25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 x14ac:dyDescent="0.25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 x14ac:dyDescent="0.25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 x14ac:dyDescent="0.25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 x14ac:dyDescent="0.25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 x14ac:dyDescent="0.25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 x14ac:dyDescent="0.25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 x14ac:dyDescent="0.25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 x14ac:dyDescent="0.25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 x14ac:dyDescent="0.25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 x14ac:dyDescent="0.25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 x14ac:dyDescent="0.25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 x14ac:dyDescent="0.25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 x14ac:dyDescent="0.25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 x14ac:dyDescent="0.25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 x14ac:dyDescent="0.25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 x14ac:dyDescent="0.25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 x14ac:dyDescent="0.25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 x14ac:dyDescent="0.25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 x14ac:dyDescent="0.25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 x14ac:dyDescent="0.25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 x14ac:dyDescent="0.25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 x14ac:dyDescent="0.25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 x14ac:dyDescent="0.25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 x14ac:dyDescent="0.25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 x14ac:dyDescent="0.25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 x14ac:dyDescent="0.25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 x14ac:dyDescent="0.25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 x14ac:dyDescent="0.25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 x14ac:dyDescent="0.25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 x14ac:dyDescent="0.25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 x14ac:dyDescent="0.25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 x14ac:dyDescent="0.25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 x14ac:dyDescent="0.25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 x14ac:dyDescent="0.25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 x14ac:dyDescent="0.25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 x14ac:dyDescent="0.25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 x14ac:dyDescent="0.25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 x14ac:dyDescent="0.25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 x14ac:dyDescent="0.25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 x14ac:dyDescent="0.25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 x14ac:dyDescent="0.25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 x14ac:dyDescent="0.25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 x14ac:dyDescent="0.25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 x14ac:dyDescent="0.25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 x14ac:dyDescent="0.25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 x14ac:dyDescent="0.25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 x14ac:dyDescent="0.25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 x14ac:dyDescent="0.25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 x14ac:dyDescent="0.25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 x14ac:dyDescent="0.25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 x14ac:dyDescent="0.25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 x14ac:dyDescent="0.25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 x14ac:dyDescent="0.25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 x14ac:dyDescent="0.25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 x14ac:dyDescent="0.25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 x14ac:dyDescent="0.25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 x14ac:dyDescent="0.25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 x14ac:dyDescent="0.25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 x14ac:dyDescent="0.25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 x14ac:dyDescent="0.25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 x14ac:dyDescent="0.25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 x14ac:dyDescent="0.25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 x14ac:dyDescent="0.25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 x14ac:dyDescent="0.25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 x14ac:dyDescent="0.25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 x14ac:dyDescent="0.25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 x14ac:dyDescent="0.25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 x14ac:dyDescent="0.25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 x14ac:dyDescent="0.25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 x14ac:dyDescent="0.25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 x14ac:dyDescent="0.25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 x14ac:dyDescent="0.25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 x14ac:dyDescent="0.25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 x14ac:dyDescent="0.25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 x14ac:dyDescent="0.25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 x14ac:dyDescent="0.25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 x14ac:dyDescent="0.25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 x14ac:dyDescent="0.25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 x14ac:dyDescent="0.25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 x14ac:dyDescent="0.25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 x14ac:dyDescent="0.25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 x14ac:dyDescent="0.25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 x14ac:dyDescent="0.25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 x14ac:dyDescent="0.25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 x14ac:dyDescent="0.25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 x14ac:dyDescent="0.25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 x14ac:dyDescent="0.25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 x14ac:dyDescent="0.25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 x14ac:dyDescent="0.25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 x14ac:dyDescent="0.25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 x14ac:dyDescent="0.25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 x14ac:dyDescent="0.25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 x14ac:dyDescent="0.25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 x14ac:dyDescent="0.25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 x14ac:dyDescent="0.25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 x14ac:dyDescent="0.25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 x14ac:dyDescent="0.25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 x14ac:dyDescent="0.25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 x14ac:dyDescent="0.25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 x14ac:dyDescent="0.25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 x14ac:dyDescent="0.25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 x14ac:dyDescent="0.25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 x14ac:dyDescent="0.25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 x14ac:dyDescent="0.25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 x14ac:dyDescent="0.25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 x14ac:dyDescent="0.25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 x14ac:dyDescent="0.25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 x14ac:dyDescent="0.25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 x14ac:dyDescent="0.25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 x14ac:dyDescent="0.25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 x14ac:dyDescent="0.25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 x14ac:dyDescent="0.25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 x14ac:dyDescent="0.25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 x14ac:dyDescent="0.25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 x14ac:dyDescent="0.25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 x14ac:dyDescent="0.25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 x14ac:dyDescent="0.25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 x14ac:dyDescent="0.25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 x14ac:dyDescent="0.25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 x14ac:dyDescent="0.25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 x14ac:dyDescent="0.25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 x14ac:dyDescent="0.25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 x14ac:dyDescent="0.25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 x14ac:dyDescent="0.25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 x14ac:dyDescent="0.25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 x14ac:dyDescent="0.25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 x14ac:dyDescent="0.25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 x14ac:dyDescent="0.25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 x14ac:dyDescent="0.25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 x14ac:dyDescent="0.25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 x14ac:dyDescent="0.25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 x14ac:dyDescent="0.25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 x14ac:dyDescent="0.25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 x14ac:dyDescent="0.25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 x14ac:dyDescent="0.25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 x14ac:dyDescent="0.25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 x14ac:dyDescent="0.25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 x14ac:dyDescent="0.25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 x14ac:dyDescent="0.25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 x14ac:dyDescent="0.25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 x14ac:dyDescent="0.25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 x14ac:dyDescent="0.25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 x14ac:dyDescent="0.25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 x14ac:dyDescent="0.25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 x14ac:dyDescent="0.25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 x14ac:dyDescent="0.25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 x14ac:dyDescent="0.25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 x14ac:dyDescent="0.25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 x14ac:dyDescent="0.25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 x14ac:dyDescent="0.25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 x14ac:dyDescent="0.25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 x14ac:dyDescent="0.25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 x14ac:dyDescent="0.25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 x14ac:dyDescent="0.25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 x14ac:dyDescent="0.25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 x14ac:dyDescent="0.25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 x14ac:dyDescent="0.25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 x14ac:dyDescent="0.25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 x14ac:dyDescent="0.25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 x14ac:dyDescent="0.25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 x14ac:dyDescent="0.25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 x14ac:dyDescent="0.25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 x14ac:dyDescent="0.25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 x14ac:dyDescent="0.25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 x14ac:dyDescent="0.25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 x14ac:dyDescent="0.25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 x14ac:dyDescent="0.25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 x14ac:dyDescent="0.25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 x14ac:dyDescent="0.25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 x14ac:dyDescent="0.25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 x14ac:dyDescent="0.25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 x14ac:dyDescent="0.25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 x14ac:dyDescent="0.25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 x14ac:dyDescent="0.25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 x14ac:dyDescent="0.25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 x14ac:dyDescent="0.25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 x14ac:dyDescent="0.25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 x14ac:dyDescent="0.25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 x14ac:dyDescent="0.25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 x14ac:dyDescent="0.25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 x14ac:dyDescent="0.25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 x14ac:dyDescent="0.25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 x14ac:dyDescent="0.25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 x14ac:dyDescent="0.25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 x14ac:dyDescent="0.25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 x14ac:dyDescent="0.25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 x14ac:dyDescent="0.25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 x14ac:dyDescent="0.25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 x14ac:dyDescent="0.25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 x14ac:dyDescent="0.25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 x14ac:dyDescent="0.25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 x14ac:dyDescent="0.25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 x14ac:dyDescent="0.25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 x14ac:dyDescent="0.25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 x14ac:dyDescent="0.25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 x14ac:dyDescent="0.25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 x14ac:dyDescent="0.25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 x14ac:dyDescent="0.25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 x14ac:dyDescent="0.25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 x14ac:dyDescent="0.25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 x14ac:dyDescent="0.25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 x14ac:dyDescent="0.25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 x14ac:dyDescent="0.25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 x14ac:dyDescent="0.25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 x14ac:dyDescent="0.25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 x14ac:dyDescent="0.25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 x14ac:dyDescent="0.25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 x14ac:dyDescent="0.25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 x14ac:dyDescent="0.25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 x14ac:dyDescent="0.25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 x14ac:dyDescent="0.25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 x14ac:dyDescent="0.25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 x14ac:dyDescent="0.25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 x14ac:dyDescent="0.25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 x14ac:dyDescent="0.25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 x14ac:dyDescent="0.25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 x14ac:dyDescent="0.25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 x14ac:dyDescent="0.25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 x14ac:dyDescent="0.25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 x14ac:dyDescent="0.25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 x14ac:dyDescent="0.25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 x14ac:dyDescent="0.25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 x14ac:dyDescent="0.25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 x14ac:dyDescent="0.25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 x14ac:dyDescent="0.25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 x14ac:dyDescent="0.25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 x14ac:dyDescent="0.25">
      <c r="B657" s="183"/>
      <c r="C657" s="184"/>
      <c r="D657" s="185"/>
      <c r="E657" s="184"/>
    </row>
    <row r="658" spans="2:5" ht="15" customHeight="1" x14ac:dyDescent="0.25">
      <c r="B658" s="183"/>
      <c r="C658" s="184"/>
      <c r="D658" s="185"/>
      <c r="E658" s="184"/>
    </row>
    <row r="659" spans="2:5" ht="15" customHeight="1" x14ac:dyDescent="0.25">
      <c r="B659" s="183"/>
      <c r="C659" s="184"/>
      <c r="D659" s="185"/>
      <c r="E659" s="184"/>
    </row>
    <row r="660" spans="2:5" ht="15" customHeight="1" x14ac:dyDescent="0.25">
      <c r="B660" s="183"/>
      <c r="C660" s="184"/>
      <c r="D660" s="185"/>
      <c r="E660" s="184"/>
    </row>
    <row r="661" spans="2:5" ht="15" customHeight="1" x14ac:dyDescent="0.25">
      <c r="B661" s="183"/>
      <c r="C661" s="184"/>
      <c r="D661" s="185"/>
      <c r="E661" s="184"/>
    </row>
    <row r="662" spans="2:5" ht="15" customHeight="1" x14ac:dyDescent="0.25">
      <c r="B662" s="74"/>
    </row>
    <row r="663" spans="2:5" ht="15" customHeight="1" x14ac:dyDescent="0.25">
      <c r="B663" s="74">
        <v>45839</v>
      </c>
      <c r="C663" s="67">
        <v>15</v>
      </c>
      <c r="D663" s="67">
        <v>1</v>
      </c>
    </row>
    <row r="664" spans="2:5" ht="15" customHeight="1" x14ac:dyDescent="0.25">
      <c r="B664" s="74">
        <v>45840</v>
      </c>
      <c r="C664" s="67">
        <v>14</v>
      </c>
      <c r="D664" s="67">
        <v>1</v>
      </c>
    </row>
    <row r="665" spans="2:5" ht="15" customHeight="1" x14ac:dyDescent="0.25">
      <c r="B665" s="74">
        <v>45840</v>
      </c>
      <c r="C665" s="67">
        <v>13.5</v>
      </c>
      <c r="D665" s="67">
        <v>1</v>
      </c>
    </row>
    <row r="666" spans="2:5" ht="15" customHeight="1" x14ac:dyDescent="0.25">
      <c r="B666" s="74">
        <v>45840</v>
      </c>
      <c r="C666" s="67">
        <v>9.6</v>
      </c>
      <c r="D666" s="67">
        <v>1</v>
      </c>
    </row>
    <row r="667" spans="2:5" ht="15" customHeight="1" x14ac:dyDescent="0.25">
      <c r="B667" s="74">
        <v>45840</v>
      </c>
      <c r="C667" s="67">
        <v>9</v>
      </c>
      <c r="D667" s="67">
        <v>1</v>
      </c>
    </row>
    <row r="668" spans="2:5" ht="15" customHeight="1" x14ac:dyDescent="0.25">
      <c r="B668" s="74">
        <v>45841</v>
      </c>
      <c r="C668" s="67">
        <v>15.5</v>
      </c>
      <c r="D668" s="67">
        <v>1</v>
      </c>
    </row>
    <row r="669" spans="2:5" ht="15" customHeight="1" x14ac:dyDescent="0.25">
      <c r="B669" s="74">
        <v>45842</v>
      </c>
      <c r="C669" s="67">
        <v>10.5</v>
      </c>
      <c r="D669" s="67">
        <v>1</v>
      </c>
    </row>
    <row r="670" spans="2:5" ht="15" customHeight="1" x14ac:dyDescent="0.25">
      <c r="B670" s="74">
        <v>45842</v>
      </c>
      <c r="C670" s="67">
        <v>12</v>
      </c>
      <c r="D670" s="67">
        <v>1</v>
      </c>
    </row>
    <row r="671" spans="2:5" ht="15" customHeight="1" x14ac:dyDescent="0.25">
      <c r="B671" s="74">
        <v>45842</v>
      </c>
      <c r="C671" s="67">
        <v>20</v>
      </c>
      <c r="D671" s="67">
        <v>1</v>
      </c>
    </row>
    <row r="672" spans="2:5" ht="15" customHeight="1" x14ac:dyDescent="0.25">
      <c r="B672" s="74">
        <v>45843</v>
      </c>
      <c r="C672" s="67">
        <v>13.5</v>
      </c>
      <c r="D672" s="67">
        <v>1</v>
      </c>
    </row>
    <row r="673" spans="2:4" ht="15" customHeight="1" x14ac:dyDescent="0.25">
      <c r="B673" s="74">
        <v>45843</v>
      </c>
      <c r="C673" s="67">
        <v>12.5</v>
      </c>
      <c r="D673" s="67">
        <v>0</v>
      </c>
    </row>
    <row r="674" spans="2:4" ht="15" customHeight="1" x14ac:dyDescent="0.25">
      <c r="B674" s="74">
        <v>45843</v>
      </c>
      <c r="C674" s="67">
        <v>17</v>
      </c>
      <c r="D674" s="67">
        <v>0</v>
      </c>
    </row>
    <row r="675" spans="2:4" ht="15" customHeight="1" x14ac:dyDescent="0.25">
      <c r="B675" s="74">
        <v>45843</v>
      </c>
      <c r="C675" s="67">
        <v>8.6</v>
      </c>
      <c r="D675" s="67">
        <v>1</v>
      </c>
    </row>
    <row r="676" spans="2:4" ht="15" customHeight="1" x14ac:dyDescent="0.25">
      <c r="B676" s="74">
        <v>45843</v>
      </c>
      <c r="C676" s="67">
        <v>22</v>
      </c>
      <c r="D676" s="67">
        <v>1</v>
      </c>
    </row>
    <row r="677" spans="2:4" ht="15" customHeight="1" x14ac:dyDescent="0.25">
      <c r="B677" s="74">
        <v>45843</v>
      </c>
      <c r="C677" s="67">
        <v>13</v>
      </c>
      <c r="D677" s="67">
        <v>1</v>
      </c>
    </row>
    <row r="678" spans="2:4" ht="15" customHeight="1" x14ac:dyDescent="0.25">
      <c r="B678" s="74">
        <v>45844</v>
      </c>
      <c r="C678" s="67">
        <v>7.8</v>
      </c>
      <c r="D678" s="67">
        <v>0</v>
      </c>
    </row>
    <row r="679" spans="2:4" ht="15" customHeight="1" x14ac:dyDescent="0.25">
      <c r="B679" s="74">
        <v>45844</v>
      </c>
      <c r="C679" s="67">
        <v>13.5</v>
      </c>
      <c r="D679" s="67">
        <v>1</v>
      </c>
    </row>
    <row r="680" spans="2:4" ht="15" customHeight="1" x14ac:dyDescent="0.25">
      <c r="B680" s="74">
        <v>45844</v>
      </c>
      <c r="C680" s="67">
        <v>9</v>
      </c>
      <c r="D680" s="67">
        <v>1</v>
      </c>
    </row>
    <row r="681" spans="2:4" ht="15" customHeight="1" x14ac:dyDescent="0.25">
      <c r="B681" s="74">
        <v>45844</v>
      </c>
      <c r="C681" s="67">
        <v>29</v>
      </c>
      <c r="D681" s="67">
        <v>1</v>
      </c>
    </row>
    <row r="682" spans="2:4" ht="15" customHeight="1" x14ac:dyDescent="0.25">
      <c r="B682" s="74">
        <v>45844</v>
      </c>
      <c r="C682" s="67">
        <v>12</v>
      </c>
      <c r="D682" s="67">
        <v>1</v>
      </c>
    </row>
    <row r="683" spans="2:4" ht="15" customHeight="1" x14ac:dyDescent="0.25">
      <c r="B683" s="74">
        <v>45845</v>
      </c>
      <c r="C683" s="67">
        <v>18.5</v>
      </c>
      <c r="D683" s="67">
        <v>1</v>
      </c>
    </row>
    <row r="684" spans="2:4" ht="15" customHeight="1" x14ac:dyDescent="0.25">
      <c r="B684" s="74">
        <v>45845</v>
      </c>
      <c r="C684" s="67">
        <v>29</v>
      </c>
      <c r="D684" s="67">
        <v>1</v>
      </c>
    </row>
    <row r="685" spans="2:4" ht="15" customHeight="1" x14ac:dyDescent="0.25">
      <c r="B685" s="74">
        <v>45845</v>
      </c>
      <c r="C685" s="67">
        <v>24</v>
      </c>
      <c r="D685" s="67">
        <v>1</v>
      </c>
    </row>
    <row r="686" spans="2:4" ht="15" customHeight="1" x14ac:dyDescent="0.25">
      <c r="B686" s="74">
        <v>45846</v>
      </c>
      <c r="C686" s="67">
        <v>10.5</v>
      </c>
      <c r="D686" s="67">
        <v>1</v>
      </c>
    </row>
    <row r="687" spans="2:4" ht="15" customHeight="1" x14ac:dyDescent="0.25">
      <c r="B687" s="74">
        <v>45846</v>
      </c>
      <c r="C687" s="67">
        <v>10</v>
      </c>
      <c r="D687" s="67">
        <v>0</v>
      </c>
    </row>
    <row r="688" spans="2:4" ht="15" customHeight="1" x14ac:dyDescent="0.25">
      <c r="B688" s="74">
        <v>45846</v>
      </c>
      <c r="C688" s="67">
        <v>9.8000000000000007</v>
      </c>
      <c r="D688" s="67">
        <v>1</v>
      </c>
    </row>
    <row r="689" spans="2:4" ht="15" customHeight="1" x14ac:dyDescent="0.25">
      <c r="B689" s="74">
        <v>45846</v>
      </c>
      <c r="C689" s="67">
        <v>8.6</v>
      </c>
      <c r="D689" s="67">
        <v>1</v>
      </c>
    </row>
    <row r="690" spans="2:4" ht="15" customHeight="1" x14ac:dyDescent="0.25">
      <c r="B690" s="74">
        <v>45847</v>
      </c>
      <c r="C690" s="67">
        <v>11.5</v>
      </c>
      <c r="D690" s="67">
        <v>1</v>
      </c>
    </row>
    <row r="691" spans="2:4" ht="15" customHeight="1" x14ac:dyDescent="0.25">
      <c r="B691" s="74">
        <v>45847</v>
      </c>
      <c r="C691" s="67">
        <v>13.5</v>
      </c>
      <c r="D691" s="67">
        <v>1</v>
      </c>
    </row>
    <row r="692" spans="2:4" ht="15" customHeight="1" x14ac:dyDescent="0.25">
      <c r="B692" s="74">
        <v>45847</v>
      </c>
      <c r="C692" s="67">
        <v>8.8000000000000007</v>
      </c>
      <c r="D692" s="67">
        <v>1</v>
      </c>
    </row>
    <row r="693" spans="2:4" ht="15" customHeight="1" x14ac:dyDescent="0.25">
      <c r="B693" s="74">
        <v>45848</v>
      </c>
      <c r="C693" s="67">
        <v>9.1999999999999993</v>
      </c>
      <c r="D693" s="67">
        <v>1</v>
      </c>
    </row>
    <row r="694" spans="2:4" ht="15" customHeight="1" x14ac:dyDescent="0.25">
      <c r="B694" s="74">
        <v>45848</v>
      </c>
      <c r="C694" s="67">
        <v>10.5</v>
      </c>
      <c r="D694" s="67">
        <v>1</v>
      </c>
    </row>
    <row r="695" spans="2:4" ht="15" customHeight="1" x14ac:dyDescent="0.25">
      <c r="B695" s="74">
        <v>45848</v>
      </c>
      <c r="C695" s="67">
        <v>9.8000000000000007</v>
      </c>
      <c r="D695" s="67">
        <v>1</v>
      </c>
    </row>
    <row r="696" spans="2:4" ht="15" customHeight="1" x14ac:dyDescent="0.25">
      <c r="B696" s="74">
        <v>45848</v>
      </c>
      <c r="C696" s="67">
        <v>9.1999999999999993</v>
      </c>
      <c r="D696" s="67">
        <v>1</v>
      </c>
    </row>
    <row r="697" spans="2:4" ht="15" customHeight="1" x14ac:dyDescent="0.25">
      <c r="B697" s="74">
        <v>45849</v>
      </c>
      <c r="C697" s="67">
        <v>15.5</v>
      </c>
      <c r="D697" s="67">
        <v>1</v>
      </c>
    </row>
    <row r="698" spans="2:4" ht="15" customHeight="1" x14ac:dyDescent="0.25">
      <c r="B698" s="74">
        <v>45849</v>
      </c>
      <c r="C698" s="67">
        <v>15</v>
      </c>
      <c r="D698" s="67">
        <v>0</v>
      </c>
    </row>
    <row r="699" spans="2:4" ht="15" customHeight="1" x14ac:dyDescent="0.25">
      <c r="B699" s="74">
        <v>45849</v>
      </c>
      <c r="C699" s="67">
        <v>9.1999999999999993</v>
      </c>
      <c r="D699" s="67">
        <v>0</v>
      </c>
    </row>
    <row r="700" spans="2:4" ht="15" customHeight="1" x14ac:dyDescent="0.25">
      <c r="B700" s="74">
        <v>45850</v>
      </c>
      <c r="C700" s="67">
        <v>8.4</v>
      </c>
      <c r="D700" s="67">
        <v>1</v>
      </c>
    </row>
    <row r="701" spans="2:4" ht="15" customHeight="1" x14ac:dyDescent="0.25">
      <c r="B701" s="74">
        <v>45850</v>
      </c>
      <c r="C701" s="67">
        <v>12</v>
      </c>
      <c r="D701" s="67">
        <v>0</v>
      </c>
    </row>
    <row r="702" spans="2:4" ht="15" customHeight="1" x14ac:dyDescent="0.25">
      <c r="B702" s="74">
        <v>45850</v>
      </c>
      <c r="C702" s="67">
        <v>8.6</v>
      </c>
      <c r="D702" s="67">
        <v>1</v>
      </c>
    </row>
    <row r="703" spans="2:4" ht="15" customHeight="1" x14ac:dyDescent="0.25">
      <c r="B703" s="74">
        <v>45850</v>
      </c>
      <c r="C703" s="67">
        <v>7.6</v>
      </c>
      <c r="D703" s="67">
        <v>1</v>
      </c>
    </row>
    <row r="704" spans="2:4" ht="15" customHeight="1" x14ac:dyDescent="0.25">
      <c r="B704" s="74">
        <v>45850</v>
      </c>
      <c r="C704" s="67">
        <v>7.6</v>
      </c>
      <c r="D704" s="67">
        <v>1</v>
      </c>
    </row>
    <row r="705" spans="2:4" ht="15" customHeight="1" x14ac:dyDescent="0.25">
      <c r="B705" s="74">
        <v>45850</v>
      </c>
      <c r="C705" s="67">
        <v>7.8</v>
      </c>
      <c r="D705" s="67">
        <v>0</v>
      </c>
    </row>
    <row r="706" spans="2:4" ht="15" customHeight="1" x14ac:dyDescent="0.25">
      <c r="B706" s="74">
        <v>45854</v>
      </c>
      <c r="C706" s="67">
        <v>12</v>
      </c>
      <c r="D706" s="67">
        <v>1</v>
      </c>
    </row>
    <row r="707" spans="2:4" ht="15" customHeight="1" x14ac:dyDescent="0.25">
      <c r="B707" s="74">
        <v>45854</v>
      </c>
      <c r="C707" s="67">
        <v>11.5</v>
      </c>
      <c r="D707" s="67">
        <v>1</v>
      </c>
    </row>
    <row r="708" spans="2:4" ht="15" customHeight="1" x14ac:dyDescent="0.25">
      <c r="B708" s="74">
        <v>45855</v>
      </c>
      <c r="C708" s="67">
        <v>13</v>
      </c>
      <c r="D708" s="67">
        <v>1</v>
      </c>
    </row>
    <row r="709" spans="2:4" ht="15" customHeight="1" x14ac:dyDescent="0.25">
      <c r="B709" s="74">
        <v>45855</v>
      </c>
      <c r="C709" s="67">
        <v>23</v>
      </c>
      <c r="D709" s="67">
        <v>1</v>
      </c>
    </row>
    <row r="710" spans="2:4" ht="15" customHeight="1" x14ac:dyDescent="0.25">
      <c r="B710" s="74">
        <v>45855</v>
      </c>
      <c r="C710" s="67">
        <v>9.6</v>
      </c>
      <c r="D710" s="67">
        <v>1</v>
      </c>
    </row>
    <row r="711" spans="2:4" ht="15" customHeight="1" x14ac:dyDescent="0.25">
      <c r="B711" s="74">
        <v>45856</v>
      </c>
      <c r="C711" s="67">
        <v>14</v>
      </c>
      <c r="D711" s="67">
        <v>1</v>
      </c>
    </row>
    <row r="712" spans="2:4" ht="15" customHeight="1" x14ac:dyDescent="0.25">
      <c r="B712" s="74">
        <v>45856</v>
      </c>
      <c r="C712" s="67">
        <v>17.5</v>
      </c>
      <c r="D712" s="67">
        <v>1</v>
      </c>
    </row>
    <row r="713" spans="2:4" ht="15" customHeight="1" x14ac:dyDescent="0.25">
      <c r="B713" s="74">
        <v>45856</v>
      </c>
      <c r="C713" s="67">
        <v>12</v>
      </c>
      <c r="D713" s="67">
        <v>1</v>
      </c>
    </row>
    <row r="714" spans="2:4" ht="15" customHeight="1" x14ac:dyDescent="0.25">
      <c r="B714" s="74">
        <v>45856</v>
      </c>
      <c r="C714" s="67">
        <v>13.5</v>
      </c>
      <c r="D714" s="67">
        <v>1</v>
      </c>
    </row>
    <row r="715" spans="2:4" ht="15" customHeight="1" x14ac:dyDescent="0.25">
      <c r="B715" s="82">
        <v>45857</v>
      </c>
      <c r="C715" s="67">
        <v>13</v>
      </c>
      <c r="D715" s="67">
        <v>1</v>
      </c>
    </row>
    <row r="716" spans="2:4" ht="15" customHeight="1" x14ac:dyDescent="0.25">
      <c r="B716" s="82">
        <v>45857</v>
      </c>
      <c r="C716" s="67">
        <v>14</v>
      </c>
      <c r="D716" s="67">
        <v>1</v>
      </c>
    </row>
    <row r="717" spans="2:4" ht="15" customHeight="1" x14ac:dyDescent="0.25">
      <c r="B717" s="82">
        <v>45857</v>
      </c>
      <c r="C717" s="67">
        <v>15</v>
      </c>
      <c r="D717" s="67">
        <v>1</v>
      </c>
    </row>
    <row r="718" spans="2:4" ht="15" customHeight="1" x14ac:dyDescent="0.25">
      <c r="B718" s="82">
        <v>45857</v>
      </c>
      <c r="C718" s="67">
        <v>8.4</v>
      </c>
      <c r="D718" s="67">
        <v>1</v>
      </c>
    </row>
    <row r="719" spans="2:4" ht="15" customHeight="1" x14ac:dyDescent="0.25">
      <c r="B719" s="82">
        <v>45858</v>
      </c>
      <c r="C719" s="67">
        <v>11.5</v>
      </c>
      <c r="D719" s="67">
        <v>1</v>
      </c>
    </row>
    <row r="720" spans="2:4" ht="15" customHeight="1" x14ac:dyDescent="0.25">
      <c r="B720" s="82">
        <v>45858</v>
      </c>
      <c r="C720" s="67">
        <v>13.5</v>
      </c>
      <c r="D720" s="67">
        <v>1</v>
      </c>
    </row>
    <row r="721" spans="2:4" ht="15" customHeight="1" x14ac:dyDescent="0.25">
      <c r="B721" s="82">
        <v>45858</v>
      </c>
      <c r="C721" s="67">
        <v>12.5</v>
      </c>
      <c r="D721" s="67">
        <v>1</v>
      </c>
    </row>
    <row r="722" spans="2:4" ht="15" customHeight="1" x14ac:dyDescent="0.25">
      <c r="B722" s="82">
        <v>45858</v>
      </c>
      <c r="C722" s="67">
        <v>11</v>
      </c>
      <c r="D722" s="67">
        <v>1</v>
      </c>
    </row>
    <row r="723" spans="2:4" ht="15" customHeight="1" x14ac:dyDescent="0.25">
      <c r="B723" s="82">
        <v>45859</v>
      </c>
      <c r="C723" s="67">
        <v>15</v>
      </c>
      <c r="D723" s="67">
        <v>1</v>
      </c>
    </row>
    <row r="724" spans="2:4" ht="15" customHeight="1" x14ac:dyDescent="0.25">
      <c r="B724" s="82">
        <v>45859</v>
      </c>
      <c r="C724" s="67">
        <v>9.1999999999999993</v>
      </c>
      <c r="D724" s="67">
        <v>1</v>
      </c>
    </row>
    <row r="725" spans="2:4" ht="15" customHeight="1" x14ac:dyDescent="0.25">
      <c r="B725" s="82">
        <v>45859</v>
      </c>
      <c r="C725" s="67">
        <v>17</v>
      </c>
      <c r="D725" s="67">
        <v>0</v>
      </c>
    </row>
    <row r="726" spans="2:4" ht="15" customHeight="1" x14ac:dyDescent="0.25">
      <c r="B726" s="82">
        <v>45860</v>
      </c>
      <c r="C726" s="67">
        <v>22</v>
      </c>
      <c r="D726" s="67">
        <v>1</v>
      </c>
    </row>
    <row r="727" spans="2:4" ht="15" customHeight="1" x14ac:dyDescent="0.25">
      <c r="B727" s="82">
        <v>45860</v>
      </c>
      <c r="C727" s="67">
        <v>9.6</v>
      </c>
      <c r="D727" s="67">
        <v>1</v>
      </c>
    </row>
    <row r="728" spans="2:4" ht="15" customHeight="1" x14ac:dyDescent="0.25">
      <c r="B728" s="82">
        <v>45860</v>
      </c>
      <c r="C728" s="67">
        <v>14</v>
      </c>
      <c r="D728" s="67">
        <v>1</v>
      </c>
    </row>
    <row r="729" spans="2:4" ht="15" customHeight="1" x14ac:dyDescent="0.25">
      <c r="B729" s="82">
        <v>45860</v>
      </c>
      <c r="C729" s="67">
        <v>8.6</v>
      </c>
      <c r="D729" s="67">
        <v>1</v>
      </c>
    </row>
    <row r="730" spans="2:4" ht="15" customHeight="1" x14ac:dyDescent="0.25">
      <c r="B730" s="82">
        <v>45861</v>
      </c>
      <c r="C730" s="67">
        <v>12</v>
      </c>
      <c r="D730" s="67">
        <v>0</v>
      </c>
    </row>
    <row r="731" spans="2:4" ht="15" customHeight="1" x14ac:dyDescent="0.25">
      <c r="B731" s="82">
        <v>45861</v>
      </c>
      <c r="C731" s="67">
        <v>18</v>
      </c>
      <c r="D731" s="67">
        <v>1</v>
      </c>
    </row>
    <row r="732" spans="2:4" ht="15" customHeight="1" x14ac:dyDescent="0.25">
      <c r="B732" s="82">
        <v>45861</v>
      </c>
      <c r="C732" s="67">
        <v>9.6</v>
      </c>
      <c r="D732" s="67">
        <v>1</v>
      </c>
    </row>
    <row r="733" spans="2:4" ht="15" customHeight="1" x14ac:dyDescent="0.25">
      <c r="B733" s="82">
        <v>45861</v>
      </c>
      <c r="C733" s="67">
        <v>32</v>
      </c>
      <c r="D733" s="67">
        <v>1</v>
      </c>
    </row>
    <row r="734" spans="2:4" ht="15" customHeight="1" x14ac:dyDescent="0.25">
      <c r="B734" s="82">
        <v>45862</v>
      </c>
      <c r="C734" s="67">
        <v>12</v>
      </c>
      <c r="D734" s="67">
        <v>1</v>
      </c>
    </row>
    <row r="735" spans="2:4" ht="15" customHeight="1" x14ac:dyDescent="0.25">
      <c r="B735" s="82">
        <v>45862</v>
      </c>
      <c r="C735" s="67">
        <v>7.8</v>
      </c>
      <c r="D735" s="67">
        <v>1</v>
      </c>
    </row>
    <row r="736" spans="2:4" ht="15" customHeight="1" x14ac:dyDescent="0.25">
      <c r="B736" s="82">
        <v>45862</v>
      </c>
      <c r="C736" s="67">
        <v>13</v>
      </c>
      <c r="D736" s="67">
        <v>1</v>
      </c>
    </row>
    <row r="737" spans="2:4" ht="15" customHeight="1" x14ac:dyDescent="0.25">
      <c r="B737" s="82">
        <v>45862</v>
      </c>
      <c r="C737" s="67">
        <v>8</v>
      </c>
      <c r="D737" s="67">
        <v>1</v>
      </c>
    </row>
    <row r="738" spans="2:4" ht="15" customHeight="1" x14ac:dyDescent="0.25">
      <c r="B738" s="82">
        <v>45863</v>
      </c>
      <c r="C738" s="67">
        <v>13.5</v>
      </c>
      <c r="D738" s="67">
        <v>1</v>
      </c>
    </row>
    <row r="739" spans="2:4" ht="15" customHeight="1" x14ac:dyDescent="0.25">
      <c r="B739" s="82">
        <v>45863</v>
      </c>
      <c r="C739" s="67">
        <v>9.1999999999999993</v>
      </c>
      <c r="D739" s="67">
        <v>1</v>
      </c>
    </row>
    <row r="740" spans="2:4" ht="15" customHeight="1" x14ac:dyDescent="0.25">
      <c r="B740" s="82">
        <v>45863</v>
      </c>
      <c r="C740" s="67">
        <v>15.5</v>
      </c>
      <c r="D740" s="67">
        <v>1</v>
      </c>
    </row>
    <row r="741" spans="2:4" ht="15" customHeight="1" x14ac:dyDescent="0.25">
      <c r="B741" s="82">
        <v>45863</v>
      </c>
      <c r="C741" s="67">
        <v>18</v>
      </c>
      <c r="D741" s="67">
        <v>1</v>
      </c>
    </row>
    <row r="742" spans="2:4" ht="15" customHeight="1" x14ac:dyDescent="0.25">
      <c r="B742" s="82">
        <v>45864</v>
      </c>
      <c r="C742" s="67">
        <v>8.1999999999999993</v>
      </c>
      <c r="D742" s="67">
        <v>1</v>
      </c>
    </row>
    <row r="743" spans="2:4" ht="15" customHeight="1" x14ac:dyDescent="0.25">
      <c r="B743" s="82">
        <v>45864</v>
      </c>
      <c r="C743" s="67">
        <v>13.5</v>
      </c>
      <c r="D743" s="67">
        <v>1</v>
      </c>
    </row>
    <row r="744" spans="2:4" ht="15" customHeight="1" x14ac:dyDescent="0.25">
      <c r="B744" s="82">
        <v>45864</v>
      </c>
      <c r="C744" s="67">
        <v>17</v>
      </c>
      <c r="D744" s="67">
        <v>1</v>
      </c>
    </row>
    <row r="745" spans="2:4" ht="15" customHeight="1" x14ac:dyDescent="0.25">
      <c r="B745" s="82">
        <v>45864</v>
      </c>
      <c r="C745" s="67">
        <v>13</v>
      </c>
      <c r="D745" s="67">
        <v>1</v>
      </c>
    </row>
    <row r="746" spans="2:4" ht="15" customHeight="1" x14ac:dyDescent="0.25">
      <c r="B746" s="82">
        <v>45865</v>
      </c>
      <c r="C746" s="67">
        <v>25</v>
      </c>
      <c r="D746" s="67">
        <v>1</v>
      </c>
    </row>
    <row r="747" spans="2:4" ht="15" customHeight="1" x14ac:dyDescent="0.25">
      <c r="B747" s="82">
        <v>45865</v>
      </c>
      <c r="C747" s="67">
        <v>9</v>
      </c>
      <c r="D747" s="67">
        <v>1</v>
      </c>
    </row>
    <row r="748" spans="2:4" ht="15" customHeight="1" x14ac:dyDescent="0.25">
      <c r="B748" s="82">
        <v>45865</v>
      </c>
      <c r="C748" s="67">
        <v>24</v>
      </c>
      <c r="D748" s="67">
        <v>1</v>
      </c>
    </row>
    <row r="749" spans="2:4" ht="15" customHeight="1" x14ac:dyDescent="0.25">
      <c r="B749" s="82">
        <v>45865</v>
      </c>
      <c r="C749" s="67">
        <v>9.6</v>
      </c>
      <c r="D749" s="67">
        <v>1</v>
      </c>
    </row>
    <row r="750" spans="2:4" ht="15" customHeight="1" x14ac:dyDescent="0.25">
      <c r="B750" s="82">
        <v>45866</v>
      </c>
      <c r="C750" s="67">
        <v>9</v>
      </c>
      <c r="D750" s="67">
        <v>1</v>
      </c>
    </row>
    <row r="751" spans="2:4" ht="15" customHeight="1" x14ac:dyDescent="0.25">
      <c r="B751" s="82">
        <v>45866</v>
      </c>
      <c r="C751" s="67">
        <v>24</v>
      </c>
      <c r="D751" s="67">
        <v>1</v>
      </c>
    </row>
    <row r="752" spans="2:4" ht="15" customHeight="1" x14ac:dyDescent="0.25">
      <c r="B752" s="82">
        <v>45867</v>
      </c>
      <c r="C752" s="67">
        <v>9.4</v>
      </c>
      <c r="D752" s="67">
        <v>1</v>
      </c>
    </row>
    <row r="753" spans="2:4" ht="15" customHeight="1" x14ac:dyDescent="0.25">
      <c r="B753" s="82">
        <v>45867</v>
      </c>
      <c r="C753" s="67">
        <v>38</v>
      </c>
      <c r="D753" s="67">
        <v>1</v>
      </c>
    </row>
    <row r="754" spans="2:4" ht="15" customHeight="1" x14ac:dyDescent="0.25">
      <c r="B754" s="82">
        <v>45867</v>
      </c>
      <c r="C754" s="67">
        <v>24</v>
      </c>
      <c r="D754" s="67">
        <v>1</v>
      </c>
    </row>
    <row r="755" spans="2:4" ht="15" customHeight="1" x14ac:dyDescent="0.25">
      <c r="B755" s="82">
        <v>45867</v>
      </c>
      <c r="C755" s="67">
        <v>10.5</v>
      </c>
      <c r="D755" s="67">
        <v>1</v>
      </c>
    </row>
    <row r="756" spans="2:4" ht="15" customHeight="1" x14ac:dyDescent="0.25">
      <c r="B756" s="82">
        <v>45868</v>
      </c>
      <c r="C756" s="67">
        <v>15.5</v>
      </c>
      <c r="D756" s="67">
        <v>1</v>
      </c>
    </row>
    <row r="757" spans="2:4" ht="15" customHeight="1" x14ac:dyDescent="0.25">
      <c r="B757" s="82">
        <v>45868</v>
      </c>
      <c r="C757" s="67">
        <v>7.8</v>
      </c>
      <c r="D757" s="67">
        <v>1</v>
      </c>
    </row>
    <row r="758" spans="2:4" ht="15" customHeight="1" x14ac:dyDescent="0.25">
      <c r="B758" s="82">
        <v>45868</v>
      </c>
      <c r="C758" s="67">
        <v>25</v>
      </c>
      <c r="D758" s="67">
        <v>0</v>
      </c>
    </row>
    <row r="759" spans="2:4" ht="15" customHeight="1" x14ac:dyDescent="0.25">
      <c r="B759" s="82">
        <v>45868</v>
      </c>
      <c r="C759" s="67">
        <v>17</v>
      </c>
      <c r="D759" s="67">
        <v>1</v>
      </c>
    </row>
    <row r="760" spans="2:4" ht="15" customHeight="1" x14ac:dyDescent="0.25">
      <c r="B760" s="82">
        <v>45868</v>
      </c>
      <c r="C760" s="67">
        <v>8.4</v>
      </c>
      <c r="D760" s="67">
        <v>1</v>
      </c>
    </row>
    <row r="761" spans="2:4" ht="15" customHeight="1" x14ac:dyDescent="0.25">
      <c r="B761" s="82">
        <v>45868</v>
      </c>
      <c r="C761" s="67">
        <v>18</v>
      </c>
      <c r="D761" s="67">
        <v>1</v>
      </c>
    </row>
    <row r="762" spans="2:4" ht="15" customHeight="1" x14ac:dyDescent="0.25">
      <c r="B762" s="82">
        <v>45869</v>
      </c>
      <c r="C762" s="67">
        <v>12.5</v>
      </c>
      <c r="D762" s="67">
        <v>1</v>
      </c>
    </row>
    <row r="763" spans="2:4" ht="15" customHeight="1" x14ac:dyDescent="0.25">
      <c r="B763" s="82">
        <v>45869</v>
      </c>
      <c r="C763" s="67">
        <v>19</v>
      </c>
      <c r="D763" s="67">
        <v>1</v>
      </c>
    </row>
    <row r="764" spans="2:4" ht="15" customHeight="1" x14ac:dyDescent="0.25">
      <c r="B764" s="82">
        <v>45869</v>
      </c>
      <c r="C764" s="67">
        <v>8.4</v>
      </c>
      <c r="D764" s="67">
        <v>1</v>
      </c>
    </row>
    <row r="765" spans="2:4" ht="15" customHeight="1" x14ac:dyDescent="0.25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417" t="s">
        <v>380</v>
      </c>
      <c r="F3" s="1418"/>
      <c r="G3" s="1418"/>
      <c r="H3" s="1419"/>
      <c r="I3" s="1417" t="s">
        <v>381</v>
      </c>
      <c r="J3" s="1418"/>
      <c r="K3" s="1418"/>
      <c r="L3" s="1419"/>
      <c r="M3" s="1417" t="s">
        <v>73</v>
      </c>
      <c r="N3" s="1418"/>
      <c r="O3" s="1418"/>
      <c r="P3" s="1419"/>
      <c r="Q3" s="1417" t="s">
        <v>179</v>
      </c>
      <c r="R3" s="1418"/>
      <c r="S3" s="1418"/>
      <c r="T3" s="1419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 x14ac:dyDescent="0.3"/>
    <row r="2" spans="3:17" ht="19.95" hidden="1" customHeight="1" outlineLevel="1" x14ac:dyDescent="0.25">
      <c r="C2" s="47" t="s">
        <v>405</v>
      </c>
    </row>
    <row r="3" spans="3:17" ht="19.95" hidden="1" customHeight="1" outlineLevel="1" x14ac:dyDescent="0.25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 x14ac:dyDescent="0.25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 x14ac:dyDescent="0.25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 x14ac:dyDescent="0.25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 x14ac:dyDescent="0.25">
      <c r="N7" s="109"/>
      <c r="O7" s="127"/>
      <c r="P7" s="125"/>
    </row>
    <row r="8" spans="3:17" ht="19.95" hidden="1" customHeight="1" outlineLevel="1" x14ac:dyDescent="0.25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 x14ac:dyDescent="0.25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 x14ac:dyDescent="0.25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 x14ac:dyDescent="0.25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 x14ac:dyDescent="0.25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 x14ac:dyDescent="0.25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 x14ac:dyDescent="0.25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 x14ac:dyDescent="0.25">
      <c r="C15" s="47" t="s">
        <v>412</v>
      </c>
      <c r="G15" s="120">
        <f>IF(F6&gt;=65%,1,0)</f>
        <v>1</v>
      </c>
    </row>
    <row r="16" spans="3:17" ht="19.95" hidden="1" customHeight="1" outlineLevel="1" x14ac:dyDescent="0.25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 x14ac:dyDescent="0.25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 x14ac:dyDescent="0.25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 x14ac:dyDescent="0.3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 x14ac:dyDescent="0.3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 x14ac:dyDescent="0.3">
      <c r="X21" s="1420" t="s">
        <v>626</v>
      </c>
      <c r="Y21" s="1421"/>
      <c r="Z21" s="1421"/>
      <c r="AA21" s="1421"/>
      <c r="AB21" s="1421"/>
      <c r="AC21" s="1422"/>
      <c r="AD21" s="1420" t="s">
        <v>627</v>
      </c>
      <c r="AE21" s="1421"/>
      <c r="AF21" s="1421"/>
      <c r="AG21" s="1422"/>
      <c r="AH21" s="1420" t="s">
        <v>628</v>
      </c>
      <c r="AI21" s="1423"/>
      <c r="AJ21" s="1423"/>
      <c r="AK21" s="1423"/>
      <c r="AL21" s="1423"/>
      <c r="AM21" s="1423"/>
      <c r="AN21" s="1424"/>
    </row>
    <row r="22" spans="2:40" s="58" customFormat="1" ht="30" customHeight="1" collapsed="1" x14ac:dyDescent="0.25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 x14ac:dyDescent="0.25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 x14ac:dyDescent="0.25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 x14ac:dyDescent="0.25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 x14ac:dyDescent="0.25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 x14ac:dyDescent="0.25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 x14ac:dyDescent="0.25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 x14ac:dyDescent="0.25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 x14ac:dyDescent="0.25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 x14ac:dyDescent="0.25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 x14ac:dyDescent="0.25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 x14ac:dyDescent="0.25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 x14ac:dyDescent="0.25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 x14ac:dyDescent="0.25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 x14ac:dyDescent="0.25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 x14ac:dyDescent="0.25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 x14ac:dyDescent="0.25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 x14ac:dyDescent="0.25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 x14ac:dyDescent="0.25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 x14ac:dyDescent="0.25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 x14ac:dyDescent="0.25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 x14ac:dyDescent="0.25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 x14ac:dyDescent="0.25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 x14ac:dyDescent="0.25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 x14ac:dyDescent="0.25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 x14ac:dyDescent="0.25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 x14ac:dyDescent="0.25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 x14ac:dyDescent="0.25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 x14ac:dyDescent="0.25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 x14ac:dyDescent="0.25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 x14ac:dyDescent="0.25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 x14ac:dyDescent="0.25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 x14ac:dyDescent="0.25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 x14ac:dyDescent="0.25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 x14ac:dyDescent="0.25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 x14ac:dyDescent="0.25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 x14ac:dyDescent="0.25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 x14ac:dyDescent="0.25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 x14ac:dyDescent="0.25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 x14ac:dyDescent="0.25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 x14ac:dyDescent="0.25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 x14ac:dyDescent="0.25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 x14ac:dyDescent="0.25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 x14ac:dyDescent="0.25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 x14ac:dyDescent="0.25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 x14ac:dyDescent="0.25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 x14ac:dyDescent="0.25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 x14ac:dyDescent="0.25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 x14ac:dyDescent="0.25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 x14ac:dyDescent="0.25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 x14ac:dyDescent="0.25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 x14ac:dyDescent="0.25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 x14ac:dyDescent="0.25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 x14ac:dyDescent="0.25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 x14ac:dyDescent="0.25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 x14ac:dyDescent="0.25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 x14ac:dyDescent="0.25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 x14ac:dyDescent="0.25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 x14ac:dyDescent="0.25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 x14ac:dyDescent="0.25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 x14ac:dyDescent="0.25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 x14ac:dyDescent="0.25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 x14ac:dyDescent="0.25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 x14ac:dyDescent="0.25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 x14ac:dyDescent="0.25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 x14ac:dyDescent="0.25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 x14ac:dyDescent="0.25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 x14ac:dyDescent="0.25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 x14ac:dyDescent="0.25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 x14ac:dyDescent="0.25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 x14ac:dyDescent="0.25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 x14ac:dyDescent="0.25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 x14ac:dyDescent="0.25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 x14ac:dyDescent="0.25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 x14ac:dyDescent="0.25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 x14ac:dyDescent="0.25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 x14ac:dyDescent="0.25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 x14ac:dyDescent="0.25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 x14ac:dyDescent="0.25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 x14ac:dyDescent="0.25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 x14ac:dyDescent="0.25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 x14ac:dyDescent="0.25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 x14ac:dyDescent="0.25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 x14ac:dyDescent="0.25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D28EB955-CC23-4425-9787-EEC98CAF383E}">
  <ds:schemaRefs/>
</ds:datastoreItem>
</file>

<file path=customXml/itemProps3.xml><?xml version="1.0" encoding="utf-8"?>
<ds:datastoreItem xmlns:ds="http://schemas.openxmlformats.org/officeDocument/2006/customXml" ds:itemID="{1A9B4873-AFAD-44CE-B89A-8396ED0DDD47}">
  <ds:schemaRefs/>
</ds:datastoreItem>
</file>

<file path=customXml/itemProps4.xml><?xml version="1.0" encoding="utf-8"?>
<ds:datastoreItem xmlns:ds="http://schemas.openxmlformats.org/officeDocument/2006/customXml" ds:itemID="{5C390BFF-7F94-40C9-8244-56E47562B85E}">
  <ds:schemaRefs/>
</ds:datastoreItem>
</file>

<file path=customXml/itemProps5.xml><?xml version="1.0" encoding="utf-8"?>
<ds:datastoreItem xmlns:ds="http://schemas.openxmlformats.org/officeDocument/2006/customXml" ds:itemID="{3C2DB1DD-3D0B-439B-8CFE-28E9416D116E}">
  <ds:schemaRefs/>
</ds:datastoreItem>
</file>

<file path=customXml/itemProps6.xml><?xml version="1.0" encoding="utf-8"?>
<ds:datastoreItem xmlns:ds="http://schemas.openxmlformats.org/officeDocument/2006/customXml" ds:itemID="{5350A302-B8D9-4873-99B4-4DE3B5EAB877}">
  <ds:schemaRefs/>
</ds:datastoreItem>
</file>

<file path=customXml/itemProps7.xml><?xml version="1.0" encoding="utf-8"?>
<ds:datastoreItem xmlns:ds="http://schemas.openxmlformats.org/officeDocument/2006/customXml" ds:itemID="{E0AD9576-36B5-4C38-BEA5-F64E16FBD31D}">
  <ds:schemaRefs/>
</ds:datastoreItem>
</file>

<file path=customXml/itemProps8.xml><?xml version="1.0" encoding="utf-8"?>
<ds:datastoreItem xmlns:ds="http://schemas.openxmlformats.org/officeDocument/2006/customXml" ds:itemID="{3E2E56A8-1290-4D72-872F-7ED42363545B}">
  <ds:schemaRefs/>
</ds:datastoreItem>
</file>

<file path=customXml/itemProps9.xml><?xml version="1.0" encoding="utf-8"?>
<ds:datastoreItem xmlns:ds="http://schemas.openxmlformats.org/officeDocument/2006/customXml" ds:itemID="{01053647-D1C0-408E-BDFF-47027BB864E6}">
  <ds:schemaRefs/>
</ds:datastoreItem>
</file>

<file path=customXml/itemProps10.xml><?xml version="1.0" encoding="utf-8"?>
<ds:datastoreItem xmlns:ds="http://schemas.openxmlformats.org/officeDocument/2006/customXml" ds:itemID="{903EB21E-C250-4F6A-B91B-A1775839E030}">
  <ds:schemaRefs/>
</ds:datastoreItem>
</file>

<file path=customXml/itemProps11.xml><?xml version="1.0" encoding="utf-8"?>
<ds:datastoreItem xmlns:ds="http://schemas.openxmlformats.org/officeDocument/2006/customXml" ds:itemID="{531B5D8A-9D0A-4E72-80E1-F14498B85837}">
  <ds:schemaRefs/>
</ds:datastoreItem>
</file>

<file path=customXml/itemProps12.xml><?xml version="1.0" encoding="utf-8"?>
<ds:datastoreItem xmlns:ds="http://schemas.openxmlformats.org/officeDocument/2006/customXml" ds:itemID="{F743BC9B-F626-443C-8944-CCA557256B30}">
  <ds:schemaRefs/>
</ds:datastoreItem>
</file>

<file path=customXml/itemProps13.xml><?xml version="1.0" encoding="utf-8"?>
<ds:datastoreItem xmlns:ds="http://schemas.openxmlformats.org/officeDocument/2006/customXml" ds:itemID="{1418D668-1050-4A24-AA46-1670C0328D19}">
  <ds:schemaRefs/>
</ds:datastoreItem>
</file>

<file path=customXml/itemProps14.xml><?xml version="1.0" encoding="utf-8"?>
<ds:datastoreItem xmlns:ds="http://schemas.openxmlformats.org/officeDocument/2006/customXml" ds:itemID="{EB958FF7-32B5-452C-8F11-8544CBB63F8F}">
  <ds:schemaRefs/>
</ds:datastoreItem>
</file>

<file path=customXml/itemProps15.xml><?xml version="1.0" encoding="utf-8"?>
<ds:datastoreItem xmlns:ds="http://schemas.openxmlformats.org/officeDocument/2006/customXml" ds:itemID="{C726001D-7FEF-4D60-904E-C515F2AE18B8}">
  <ds:schemaRefs/>
</ds:datastoreItem>
</file>

<file path=customXml/itemProps16.xml><?xml version="1.0" encoding="utf-8"?>
<ds:datastoreItem xmlns:ds="http://schemas.openxmlformats.org/officeDocument/2006/customXml" ds:itemID="{FEF94E45-EB58-4B60-A8DA-12401E2B8391}">
  <ds:schemaRefs/>
</ds:datastoreItem>
</file>

<file path=customXml/itemProps17.xml><?xml version="1.0" encoding="utf-8"?>
<ds:datastoreItem xmlns:ds="http://schemas.openxmlformats.org/officeDocument/2006/customXml" ds:itemID="{A0934C01-3E48-41D6-9342-1AD591BDF257}">
  <ds:schemaRefs/>
</ds:datastoreItem>
</file>

<file path=customXml/itemProps18.xml><?xml version="1.0" encoding="utf-8"?>
<ds:datastoreItem xmlns:ds="http://schemas.openxmlformats.org/officeDocument/2006/customXml" ds:itemID="{F0FF6FAD-D028-4BB2-9872-29442C59B600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2026-08-31T12:14:21Z</dcterms:modified>
</cp:coreProperties>
</file>