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I281" i="13" l="1"/>
  <c r="AZ281" i="13"/>
  <c r="J4070" i="11"/>
  <c r="K4070" i="11"/>
  <c r="J4067" i="11"/>
  <c r="K4067" i="11"/>
  <c r="N4067" i="11" s="1"/>
  <c r="J4065" i="11"/>
  <c r="K4065" i="11"/>
  <c r="G4057" i="11"/>
  <c r="G4058" i="11"/>
  <c r="G4059" i="11"/>
  <c r="M4059" i="11" s="1"/>
  <c r="G4060" i="11"/>
  <c r="M4060" i="11" s="1"/>
  <c r="G4061" i="11"/>
  <c r="M4061" i="11" s="1"/>
  <c r="G4062" i="11"/>
  <c r="M4062" i="11" s="1"/>
  <c r="G4063" i="11"/>
  <c r="M4063" i="11" s="1"/>
  <c r="G4064" i="11"/>
  <c r="M4064" i="11" s="1"/>
  <c r="G4065" i="11"/>
  <c r="M4065" i="11" s="1"/>
  <c r="G4066" i="11"/>
  <c r="M4066" i="11" s="1"/>
  <c r="G4067" i="11"/>
  <c r="M4067" i="11" s="1"/>
  <c r="G4068" i="11"/>
  <c r="M4068" i="11" s="1"/>
  <c r="G4069" i="11"/>
  <c r="M4069" i="11" s="1"/>
  <c r="G4070" i="11"/>
  <c r="M4070" i="11" s="1"/>
  <c r="G4071" i="11"/>
  <c r="M4071" i="11" s="1"/>
  <c r="G4072" i="11"/>
  <c r="M4072" i="11" s="1"/>
  <c r="G4073" i="11"/>
  <c r="M4073" i="11" s="1"/>
  <c r="G4074" i="11"/>
  <c r="M4074" i="11" s="1"/>
  <c r="G4075" i="11"/>
  <c r="M4075" i="11" s="1"/>
  <c r="L4057" i="11"/>
  <c r="L4058" i="11"/>
  <c r="L4059" i="11"/>
  <c r="L4060" i="11"/>
  <c r="L4061" i="11"/>
  <c r="L4062" i="11"/>
  <c r="L4063" i="11"/>
  <c r="L4064" i="11"/>
  <c r="L4065" i="11"/>
  <c r="L4066" i="11"/>
  <c r="L4067" i="11"/>
  <c r="L4068" i="11"/>
  <c r="L4069" i="11"/>
  <c r="L4070" i="11"/>
  <c r="L4071" i="11"/>
  <c r="L4072" i="11"/>
  <c r="L4073" i="11"/>
  <c r="L4074" i="11"/>
  <c r="L4075" i="11"/>
  <c r="M4057" i="11"/>
  <c r="M4058" i="11"/>
  <c r="N4057" i="11"/>
  <c r="N4058" i="11"/>
  <c r="N4059" i="11"/>
  <c r="N4060" i="11"/>
  <c r="N4061" i="11"/>
  <c r="N4062" i="11"/>
  <c r="N4063" i="11"/>
  <c r="N4064" i="11"/>
  <c r="N4065" i="11"/>
  <c r="N4066" i="11"/>
  <c r="N4068" i="11"/>
  <c r="N4069" i="11"/>
  <c r="N4070" i="11"/>
  <c r="N4071" i="11"/>
  <c r="N4072" i="11"/>
  <c r="N4073" i="11"/>
  <c r="N4074" i="11"/>
  <c r="N4075" i="11"/>
  <c r="O4057" i="11"/>
  <c r="O4058" i="11"/>
  <c r="O4059" i="11"/>
  <c r="O4060" i="11"/>
  <c r="O4061" i="11"/>
  <c r="O4062" i="11"/>
  <c r="O4063" i="11"/>
  <c r="O4064" i="11"/>
  <c r="O4065" i="11"/>
  <c r="O4066" i="11"/>
  <c r="O4067" i="11"/>
  <c r="O4068" i="11"/>
  <c r="O4069" i="11"/>
  <c r="O4070" i="11"/>
  <c r="O4071" i="11"/>
  <c r="O4072" i="11"/>
  <c r="O4073" i="11"/>
  <c r="O4074" i="11"/>
  <c r="O4075" i="11"/>
  <c r="Q4057" i="11"/>
  <c r="Q4058" i="11"/>
  <c r="Q4059" i="11"/>
  <c r="Q4060" i="11"/>
  <c r="Q4061" i="11"/>
  <c r="Q4062" i="11"/>
  <c r="Q4063" i="11"/>
  <c r="Q4064" i="11"/>
  <c r="Q4065" i="11"/>
  <c r="Q4066" i="11"/>
  <c r="Q4067" i="11"/>
  <c r="Q4068" i="11"/>
  <c r="Q4069" i="11"/>
  <c r="Q4070" i="11"/>
  <c r="Q4071" i="11"/>
  <c r="Q4072" i="11"/>
  <c r="Q4073" i="11"/>
  <c r="Q4074" i="11"/>
  <c r="Q4075" i="11"/>
  <c r="R4057" i="11"/>
  <c r="R4058" i="11"/>
  <c r="R4059" i="11"/>
  <c r="R4060" i="11"/>
  <c r="R4061" i="11"/>
  <c r="R4062" i="11"/>
  <c r="R4063" i="11"/>
  <c r="R4064" i="11"/>
  <c r="R4065" i="11"/>
  <c r="R4066" i="11"/>
  <c r="R4067" i="11"/>
  <c r="R4068" i="11"/>
  <c r="R4069" i="11"/>
  <c r="R4070" i="11"/>
  <c r="R4071" i="11"/>
  <c r="R4072" i="11"/>
  <c r="R4073" i="11"/>
  <c r="R4074" i="11"/>
  <c r="R4075" i="11"/>
  <c r="S4057" i="11"/>
  <c r="S4058" i="11"/>
  <c r="S4059" i="11"/>
  <c r="S4060" i="11"/>
  <c r="S4061" i="11"/>
  <c r="S4062" i="11"/>
  <c r="S4063" i="11"/>
  <c r="S4064" i="11"/>
  <c r="S4065" i="11"/>
  <c r="S4066" i="11"/>
  <c r="S4067" i="11"/>
  <c r="S4068" i="11"/>
  <c r="S4069" i="11"/>
  <c r="S4070" i="11"/>
  <c r="S4071" i="11"/>
  <c r="S4072" i="11"/>
  <c r="S4073" i="11"/>
  <c r="S4074" i="11"/>
  <c r="S4075" i="11"/>
  <c r="T4057" i="11"/>
  <c r="T4058" i="11"/>
  <c r="T4059" i="11"/>
  <c r="T4060" i="11"/>
  <c r="T4061" i="11"/>
  <c r="T4062" i="11"/>
  <c r="T4063" i="11"/>
  <c r="T4064" i="11"/>
  <c r="T4065" i="11"/>
  <c r="T4066" i="11"/>
  <c r="T4067" i="11"/>
  <c r="T4068" i="11"/>
  <c r="T4069" i="11"/>
  <c r="T4070" i="11"/>
  <c r="T4071" i="11"/>
  <c r="T4072" i="11"/>
  <c r="T4073" i="11"/>
  <c r="T4074" i="11"/>
  <c r="T4075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4055" i="11" l="1"/>
  <c r="M4055" i="11" s="1"/>
  <c r="L4055" i="11"/>
  <c r="N4055" i="11"/>
  <c r="O4055" i="11"/>
  <c r="Q4055" i="11"/>
  <c r="R4055" i="11"/>
  <c r="S4055" i="11"/>
  <c r="T4055" i="11"/>
  <c r="G4056" i="11"/>
  <c r="M4056" i="11" s="1"/>
  <c r="L4056" i="11"/>
  <c r="N4056" i="11"/>
  <c r="O4056" i="11"/>
  <c r="Q4056" i="11"/>
  <c r="R4056" i="11"/>
  <c r="S4056" i="11"/>
  <c r="T4056" i="11"/>
  <c r="I280" i="13"/>
  <c r="AZ280" i="13"/>
  <c r="I279" i="13"/>
  <c r="AZ279" i="13"/>
  <c r="J4054" i="11"/>
  <c r="K4054" i="11"/>
  <c r="J4053" i="11"/>
  <c r="K4053" i="11"/>
  <c r="J4051" i="11"/>
  <c r="K4051" i="11"/>
  <c r="J4049" i="11"/>
  <c r="K4049" i="11"/>
  <c r="N4049" i="11" s="1"/>
  <c r="K4043" i="11"/>
  <c r="K4038" i="11"/>
  <c r="J4038" i="11" s="1"/>
  <c r="K4037" i="11"/>
  <c r="N4037" i="11" s="1"/>
  <c r="G4028" i="11"/>
  <c r="M4028" i="11" s="1"/>
  <c r="G4029" i="11"/>
  <c r="M4029" i="11" s="1"/>
  <c r="G4030" i="11"/>
  <c r="M4030" i="11" s="1"/>
  <c r="G4031" i="11"/>
  <c r="M4031" i="11" s="1"/>
  <c r="G4032" i="11"/>
  <c r="M4032" i="11" s="1"/>
  <c r="G4033" i="11"/>
  <c r="M4033" i="11" s="1"/>
  <c r="G4034" i="11"/>
  <c r="M4034" i="11" s="1"/>
  <c r="G4035" i="11"/>
  <c r="M4035" i="11" s="1"/>
  <c r="G4036" i="11"/>
  <c r="M4036" i="11" s="1"/>
  <c r="G4037" i="11"/>
  <c r="M4037" i="11" s="1"/>
  <c r="G4038" i="11"/>
  <c r="M4038" i="11" s="1"/>
  <c r="G4039" i="11"/>
  <c r="M4039" i="11" s="1"/>
  <c r="G4040" i="11"/>
  <c r="M4040" i="11" s="1"/>
  <c r="G4041" i="11"/>
  <c r="M4041" i="11" s="1"/>
  <c r="G4042" i="11"/>
  <c r="M4042" i="11" s="1"/>
  <c r="G4043" i="11"/>
  <c r="M4043" i="11" s="1"/>
  <c r="G4044" i="11"/>
  <c r="M4044" i="11" s="1"/>
  <c r="G4045" i="11"/>
  <c r="M4045" i="11" s="1"/>
  <c r="G4046" i="11"/>
  <c r="M4046" i="11" s="1"/>
  <c r="G4047" i="11"/>
  <c r="M4047" i="11" s="1"/>
  <c r="G4048" i="11"/>
  <c r="M4048" i="11" s="1"/>
  <c r="G4049" i="11"/>
  <c r="M4049" i="11" s="1"/>
  <c r="G4050" i="11"/>
  <c r="M4050" i="11" s="1"/>
  <c r="G4051" i="11"/>
  <c r="M4051" i="11" s="1"/>
  <c r="G4052" i="11"/>
  <c r="M4052" i="11" s="1"/>
  <c r="G4053" i="11"/>
  <c r="M4053" i="11" s="1"/>
  <c r="G4054" i="11"/>
  <c r="M4054" i="11" s="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N4028" i="11"/>
  <c r="N4029" i="11"/>
  <c r="N4030" i="11"/>
  <c r="N4031" i="11"/>
  <c r="N4032" i="11"/>
  <c r="N4033" i="11"/>
  <c r="N4034" i="11"/>
  <c r="N4035" i="11"/>
  <c r="N4036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50" i="11"/>
  <c r="N4051" i="11"/>
  <c r="N4052" i="11"/>
  <c r="N4053" i="11"/>
  <c r="N4054" i="11"/>
  <c r="O4028" i="11"/>
  <c r="O4029" i="11"/>
  <c r="O4030" i="11"/>
  <c r="O4031" i="11"/>
  <c r="O4032" i="11"/>
  <c r="O4033" i="11"/>
  <c r="O4034" i="11"/>
  <c r="O4035" i="11"/>
  <c r="O4036" i="11"/>
  <c r="O4037" i="11"/>
  <c r="O4038" i="11"/>
  <c r="O4039" i="11"/>
  <c r="O4040" i="11"/>
  <c r="O4041" i="11"/>
  <c r="O4042" i="11"/>
  <c r="O4043" i="11"/>
  <c r="O4044" i="11"/>
  <c r="O4045" i="11"/>
  <c r="O4046" i="11"/>
  <c r="O4047" i="11"/>
  <c r="O4048" i="11"/>
  <c r="O4049" i="11"/>
  <c r="O4050" i="11"/>
  <c r="O4051" i="11"/>
  <c r="O4052" i="11"/>
  <c r="O4053" i="11"/>
  <c r="O4054" i="11"/>
  <c r="Q4028" i="11"/>
  <c r="Q4029" i="11"/>
  <c r="Q4030" i="11"/>
  <c r="Q4031" i="11"/>
  <c r="Q4032" i="11"/>
  <c r="Q4033" i="11"/>
  <c r="Q4034" i="11"/>
  <c r="Q4035" i="11"/>
  <c r="Q4036" i="11"/>
  <c r="Q4037" i="11"/>
  <c r="Q4038" i="11"/>
  <c r="Q4039" i="11"/>
  <c r="Q4040" i="11"/>
  <c r="Q4041" i="11"/>
  <c r="Q4042" i="11"/>
  <c r="Q4043" i="11"/>
  <c r="Q4044" i="11"/>
  <c r="Q4045" i="11"/>
  <c r="Q4046" i="11"/>
  <c r="Q4047" i="11"/>
  <c r="Q4048" i="11"/>
  <c r="Q4049" i="11"/>
  <c r="Q4050" i="11"/>
  <c r="Q4051" i="11"/>
  <c r="Q4052" i="11"/>
  <c r="Q4053" i="11"/>
  <c r="Q4054" i="11"/>
  <c r="R4028" i="11"/>
  <c r="R4029" i="11"/>
  <c r="R4030" i="11"/>
  <c r="R4031" i="11"/>
  <c r="R4032" i="11"/>
  <c r="R4033" i="11"/>
  <c r="R4034" i="11"/>
  <c r="R4035" i="11"/>
  <c r="R4036" i="11"/>
  <c r="R4037" i="11"/>
  <c r="R4038" i="11"/>
  <c r="R4039" i="11"/>
  <c r="R4040" i="11"/>
  <c r="R4041" i="11"/>
  <c r="R4042" i="11"/>
  <c r="R4043" i="11"/>
  <c r="R4044" i="11"/>
  <c r="R4045" i="11"/>
  <c r="R4046" i="11"/>
  <c r="R4047" i="11"/>
  <c r="R4048" i="11"/>
  <c r="R4049" i="11"/>
  <c r="R4050" i="11"/>
  <c r="R4051" i="11"/>
  <c r="R4052" i="11"/>
  <c r="R4053" i="11"/>
  <c r="R4054" i="11"/>
  <c r="S4028" i="11"/>
  <c r="S4029" i="11"/>
  <c r="S4030" i="11"/>
  <c r="S4031" i="11"/>
  <c r="S4032" i="11"/>
  <c r="S4033" i="11"/>
  <c r="S4034" i="11"/>
  <c r="S4035" i="11"/>
  <c r="S4036" i="11"/>
  <c r="S4037" i="11"/>
  <c r="S4038" i="11"/>
  <c r="S4039" i="11"/>
  <c r="S4040" i="11"/>
  <c r="S4041" i="11"/>
  <c r="S4042" i="11"/>
  <c r="S4043" i="11"/>
  <c r="S4044" i="11"/>
  <c r="S4045" i="11"/>
  <c r="S4046" i="11"/>
  <c r="S4047" i="11"/>
  <c r="S4048" i="11"/>
  <c r="S4049" i="11"/>
  <c r="S4050" i="11"/>
  <c r="S4051" i="11"/>
  <c r="S4052" i="11"/>
  <c r="S4053" i="11"/>
  <c r="S4054" i="11"/>
  <c r="T4028" i="11"/>
  <c r="T4029" i="11"/>
  <c r="T4030" i="11"/>
  <c r="T4031" i="11"/>
  <c r="T4032" i="11"/>
  <c r="T4033" i="11"/>
  <c r="T4034" i="11"/>
  <c r="T4035" i="11"/>
  <c r="T4036" i="11"/>
  <c r="T4037" i="11"/>
  <c r="T4038" i="11"/>
  <c r="T4039" i="11"/>
  <c r="T4040" i="11"/>
  <c r="T4041" i="11"/>
  <c r="T4042" i="11"/>
  <c r="T4043" i="11"/>
  <c r="T4044" i="11"/>
  <c r="T4045" i="11"/>
  <c r="T4046" i="11"/>
  <c r="T4047" i="11"/>
  <c r="T4048" i="11"/>
  <c r="T4049" i="11"/>
  <c r="T4050" i="11"/>
  <c r="T4051" i="11"/>
  <c r="T4052" i="11"/>
  <c r="T4053" i="11"/>
  <c r="T4054" i="11"/>
  <c r="J4037" i="11" l="1"/>
  <c r="K4027" i="11"/>
  <c r="J4027" i="11" s="1"/>
  <c r="K4025" i="11"/>
  <c r="J4025" i="11" s="1"/>
  <c r="K4021" i="11"/>
  <c r="N4021" i="11" s="1"/>
  <c r="K4018" i="11"/>
  <c r="J4018" i="11" s="1"/>
  <c r="G4014" i="11"/>
  <c r="M4014" i="11" s="1"/>
  <c r="G4015" i="11"/>
  <c r="M4015" i="11" s="1"/>
  <c r="G4016" i="11"/>
  <c r="M4016" i="11" s="1"/>
  <c r="G4017" i="11"/>
  <c r="M4017" i="11" s="1"/>
  <c r="G4018" i="11"/>
  <c r="M4018" i="11" s="1"/>
  <c r="G4019" i="11"/>
  <c r="M4019" i="11" s="1"/>
  <c r="G4020" i="11"/>
  <c r="M4020" i="11" s="1"/>
  <c r="G4021" i="11"/>
  <c r="M4021" i="11" s="1"/>
  <c r="G4022" i="11"/>
  <c r="M4022" i="11" s="1"/>
  <c r="G4023" i="11"/>
  <c r="M4023" i="11" s="1"/>
  <c r="G4024" i="11"/>
  <c r="M4024" i="11" s="1"/>
  <c r="G4025" i="11"/>
  <c r="M4025" i="11" s="1"/>
  <c r="G4026" i="11"/>
  <c r="M4026" i="11" s="1"/>
  <c r="G4027" i="11"/>
  <c r="M4027" i="11" s="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N4014" i="11"/>
  <c r="N4015" i="11"/>
  <c r="N4016" i="11"/>
  <c r="N4017" i="11"/>
  <c r="N4018" i="11"/>
  <c r="N4019" i="11"/>
  <c r="N4020" i="11"/>
  <c r="N4022" i="11"/>
  <c r="N4023" i="11"/>
  <c r="N4024" i="11"/>
  <c r="N4025" i="11"/>
  <c r="N4026" i="11"/>
  <c r="N4027" i="11"/>
  <c r="O4014" i="11"/>
  <c r="O4015" i="11"/>
  <c r="O4016" i="11"/>
  <c r="O4017" i="11"/>
  <c r="O4018" i="11"/>
  <c r="O4019" i="11"/>
  <c r="O4020" i="11"/>
  <c r="O4021" i="11"/>
  <c r="O4022" i="11"/>
  <c r="O4023" i="11"/>
  <c r="O4024" i="11"/>
  <c r="O4025" i="11"/>
  <c r="O4026" i="11"/>
  <c r="O4027" i="11"/>
  <c r="Q4014" i="11"/>
  <c r="Q4015" i="11"/>
  <c r="Q4016" i="11"/>
  <c r="Q4017" i="11"/>
  <c r="Q4018" i="11"/>
  <c r="Q4019" i="11"/>
  <c r="Q4020" i="11"/>
  <c r="Q4021" i="11"/>
  <c r="Q4022" i="11"/>
  <c r="Q4023" i="11"/>
  <c r="Q4024" i="11"/>
  <c r="Q4025" i="11"/>
  <c r="Q4026" i="11"/>
  <c r="Q4027" i="11"/>
  <c r="R4014" i="11"/>
  <c r="R4015" i="11"/>
  <c r="R4016" i="11"/>
  <c r="R4017" i="11"/>
  <c r="R4018" i="11"/>
  <c r="R4019" i="11"/>
  <c r="R4020" i="11"/>
  <c r="R4021" i="11"/>
  <c r="R4022" i="11"/>
  <c r="R4023" i="11"/>
  <c r="R4024" i="11"/>
  <c r="R4025" i="11"/>
  <c r="R4026" i="11"/>
  <c r="R4027" i="11"/>
  <c r="S4014" i="11"/>
  <c r="S4015" i="11"/>
  <c r="S4016" i="11"/>
  <c r="S4017" i="11"/>
  <c r="S4018" i="11"/>
  <c r="S4019" i="11"/>
  <c r="S4020" i="11"/>
  <c r="S4021" i="11"/>
  <c r="S4022" i="11"/>
  <c r="S4023" i="11"/>
  <c r="S4024" i="11"/>
  <c r="S4025" i="11"/>
  <c r="S4026" i="11"/>
  <c r="S4027" i="11"/>
  <c r="T4014" i="11"/>
  <c r="T4015" i="11"/>
  <c r="T4016" i="11"/>
  <c r="T4017" i="11"/>
  <c r="T4018" i="11"/>
  <c r="T4019" i="11"/>
  <c r="T4020" i="11"/>
  <c r="T4021" i="11"/>
  <c r="T4022" i="11"/>
  <c r="T4023" i="11"/>
  <c r="T4024" i="11"/>
  <c r="T4025" i="11"/>
  <c r="T4026" i="11"/>
  <c r="T4027" i="11"/>
  <c r="J4021" i="11" l="1"/>
  <c r="I278" i="13"/>
  <c r="AZ278" i="13"/>
  <c r="K4011" i="11"/>
  <c r="J4011" i="11" s="1"/>
  <c r="G4009" i="11"/>
  <c r="M4009" i="11" s="1"/>
  <c r="G4010" i="11"/>
  <c r="M4010" i="11" s="1"/>
  <c r="G4011" i="11"/>
  <c r="M4011" i="11" s="1"/>
  <c r="G4012" i="11"/>
  <c r="M4012" i="11" s="1"/>
  <c r="G4013" i="11"/>
  <c r="M4013" i="11" s="1"/>
  <c r="L4009" i="11"/>
  <c r="L4010" i="11"/>
  <c r="L4011" i="11"/>
  <c r="L4012" i="11"/>
  <c r="L4013" i="11"/>
  <c r="N4009" i="11"/>
  <c r="N4010" i="11"/>
  <c r="N4011" i="11"/>
  <c r="N4012" i="11"/>
  <c r="N4013" i="11"/>
  <c r="O4009" i="11"/>
  <c r="O4010" i="11"/>
  <c r="O4011" i="11"/>
  <c r="O4012" i="11"/>
  <c r="O4013" i="11"/>
  <c r="Q4009" i="11"/>
  <c r="Q4010" i="11"/>
  <c r="Q4011" i="11"/>
  <c r="Q4012" i="11"/>
  <c r="Q4013" i="11"/>
  <c r="R4009" i="11"/>
  <c r="R4010" i="11"/>
  <c r="R4011" i="11"/>
  <c r="R4012" i="11"/>
  <c r="R4013" i="11"/>
  <c r="S4009" i="11"/>
  <c r="S4010" i="11"/>
  <c r="S4011" i="11"/>
  <c r="S4012" i="11"/>
  <c r="S4013" i="11"/>
  <c r="T4009" i="11"/>
  <c r="T4010" i="11"/>
  <c r="T4011" i="11"/>
  <c r="T4012" i="11"/>
  <c r="T4013" i="11"/>
  <c r="I277" i="13" l="1"/>
  <c r="AZ277" i="13"/>
  <c r="K4007" i="11"/>
  <c r="N4007" i="11" s="1"/>
  <c r="K4005" i="11"/>
  <c r="G3999" i="11"/>
  <c r="M3999" i="11" s="1"/>
  <c r="G4000" i="11"/>
  <c r="M4000" i="11" s="1"/>
  <c r="G4001" i="11"/>
  <c r="M4001" i="11" s="1"/>
  <c r="G4002" i="11"/>
  <c r="M4002" i="11" s="1"/>
  <c r="G4003" i="11"/>
  <c r="M4003" i="11" s="1"/>
  <c r="G4004" i="11"/>
  <c r="M4004" i="11" s="1"/>
  <c r="G4005" i="11"/>
  <c r="M4005" i="11" s="1"/>
  <c r="G4006" i="11"/>
  <c r="M4006" i="11" s="1"/>
  <c r="G4007" i="11"/>
  <c r="M4007" i="11" s="1"/>
  <c r="G4008" i="11"/>
  <c r="M4008" i="11" s="1"/>
  <c r="L3999" i="11"/>
  <c r="L4000" i="11"/>
  <c r="L4001" i="11"/>
  <c r="L4002" i="11"/>
  <c r="L4003" i="11"/>
  <c r="L4004" i="11"/>
  <c r="L4005" i="11"/>
  <c r="L4006" i="11"/>
  <c r="L4007" i="11"/>
  <c r="L4008" i="11"/>
  <c r="N3999" i="11"/>
  <c r="N4000" i="11"/>
  <c r="N4001" i="11"/>
  <c r="N4002" i="11"/>
  <c r="N4003" i="11"/>
  <c r="N4004" i="11"/>
  <c r="N4005" i="11"/>
  <c r="N4006" i="11"/>
  <c r="N4008" i="11"/>
  <c r="O3999" i="11"/>
  <c r="O4000" i="11"/>
  <c r="O4001" i="11"/>
  <c r="O4002" i="11"/>
  <c r="O4003" i="11"/>
  <c r="O4004" i="11"/>
  <c r="O4005" i="11"/>
  <c r="O4006" i="11"/>
  <c r="O4007" i="11"/>
  <c r="O4008" i="11"/>
  <c r="Q3999" i="11"/>
  <c r="Q4000" i="11"/>
  <c r="Q4001" i="11"/>
  <c r="Q4002" i="11"/>
  <c r="Q4003" i="11"/>
  <c r="Q4004" i="11"/>
  <c r="Q4005" i="11"/>
  <c r="Q4006" i="11"/>
  <c r="Q4007" i="11"/>
  <c r="Q4008" i="11"/>
  <c r="R3999" i="11"/>
  <c r="R4000" i="11"/>
  <c r="R4001" i="11"/>
  <c r="R4002" i="11"/>
  <c r="R4003" i="11"/>
  <c r="R4004" i="11"/>
  <c r="R4005" i="11"/>
  <c r="R4006" i="11"/>
  <c r="R4007" i="11"/>
  <c r="R4008" i="11"/>
  <c r="S3999" i="11"/>
  <c r="S4000" i="11"/>
  <c r="S4001" i="11"/>
  <c r="S4002" i="11"/>
  <c r="S4003" i="11"/>
  <c r="S4004" i="11"/>
  <c r="S4005" i="11"/>
  <c r="S4006" i="11"/>
  <c r="S4007" i="11"/>
  <c r="S4008" i="11"/>
  <c r="T3999" i="11"/>
  <c r="T4000" i="11"/>
  <c r="T4001" i="11"/>
  <c r="T4002" i="11"/>
  <c r="T4003" i="11"/>
  <c r="T4004" i="11"/>
  <c r="T4005" i="11"/>
  <c r="T4006" i="11"/>
  <c r="T4007" i="11"/>
  <c r="T4008" i="11"/>
  <c r="J4007" i="11" l="1"/>
  <c r="G3993" i="11"/>
  <c r="M3993" i="11" s="1"/>
  <c r="G3994" i="11"/>
  <c r="M3994" i="11" s="1"/>
  <c r="G3995" i="11"/>
  <c r="M3995" i="11" s="1"/>
  <c r="G3996" i="11"/>
  <c r="M3996" i="11" s="1"/>
  <c r="G3997" i="11"/>
  <c r="M3997" i="11" s="1"/>
  <c r="G3998" i="11"/>
  <c r="M3998" i="11" s="1"/>
  <c r="L3993" i="11"/>
  <c r="L3994" i="11"/>
  <c r="L3995" i="11"/>
  <c r="L3996" i="11"/>
  <c r="L3997" i="11"/>
  <c r="L3998" i="11"/>
  <c r="N3993" i="11"/>
  <c r="N3994" i="11"/>
  <c r="N3995" i="11"/>
  <c r="N3996" i="11"/>
  <c r="N3997" i="11"/>
  <c r="N3998" i="11"/>
  <c r="O3993" i="11"/>
  <c r="O3994" i="11"/>
  <c r="O3995" i="11"/>
  <c r="O3996" i="11"/>
  <c r="O3997" i="11"/>
  <c r="O3998" i="11"/>
  <c r="Q3993" i="11"/>
  <c r="Q3994" i="11"/>
  <c r="Q3995" i="11"/>
  <c r="Q3996" i="11"/>
  <c r="Q3997" i="11"/>
  <c r="Q3998" i="11"/>
  <c r="R3993" i="11"/>
  <c r="R3994" i="11"/>
  <c r="R3995" i="11"/>
  <c r="R3996" i="11"/>
  <c r="R3997" i="11"/>
  <c r="R3998" i="11"/>
  <c r="S3993" i="11"/>
  <c r="S3994" i="11"/>
  <c r="S3995" i="11"/>
  <c r="S3996" i="11"/>
  <c r="S3997" i="11"/>
  <c r="S3998" i="11"/>
  <c r="T3993" i="11"/>
  <c r="T3994" i="11"/>
  <c r="T3995" i="11"/>
  <c r="T3996" i="11"/>
  <c r="T3997" i="11"/>
  <c r="T3998" i="11"/>
  <c r="I276" i="13" l="1"/>
  <c r="AZ276" i="13"/>
  <c r="I275" i="13"/>
  <c r="AZ275" i="13"/>
  <c r="G3985" i="11"/>
  <c r="M3985" i="11" s="1"/>
  <c r="G3986" i="11"/>
  <c r="M3986" i="11" s="1"/>
  <c r="G3987" i="11"/>
  <c r="M3987" i="11" s="1"/>
  <c r="G3988" i="11"/>
  <c r="M3988" i="11" s="1"/>
  <c r="G3989" i="11"/>
  <c r="M3989" i="11" s="1"/>
  <c r="G3990" i="11"/>
  <c r="M3990" i="11" s="1"/>
  <c r="G3991" i="11"/>
  <c r="M3991" i="11" s="1"/>
  <c r="G3992" i="11"/>
  <c r="M3992" i="11" s="1"/>
  <c r="L3985" i="11"/>
  <c r="L3986" i="11"/>
  <c r="L3987" i="11"/>
  <c r="L3988" i="11"/>
  <c r="L3989" i="11"/>
  <c r="L3990" i="11"/>
  <c r="L3991" i="11"/>
  <c r="L3992" i="11"/>
  <c r="N3985" i="11"/>
  <c r="N3986" i="11"/>
  <c r="N3987" i="11"/>
  <c r="N3988" i="11"/>
  <c r="N3989" i="11"/>
  <c r="N3990" i="11"/>
  <c r="N3991" i="11"/>
  <c r="N3992" i="11"/>
  <c r="O3985" i="11"/>
  <c r="O3986" i="11"/>
  <c r="O3987" i="11"/>
  <c r="O3988" i="11"/>
  <c r="O3989" i="11"/>
  <c r="O3990" i="11"/>
  <c r="O3991" i="11"/>
  <c r="O3992" i="11"/>
  <c r="Q3985" i="11"/>
  <c r="Q3986" i="11"/>
  <c r="Q3987" i="11"/>
  <c r="Q3988" i="11"/>
  <c r="Q3989" i="11"/>
  <c r="Q3990" i="11"/>
  <c r="Q3991" i="11"/>
  <c r="Q3992" i="11"/>
  <c r="R3985" i="11"/>
  <c r="R3986" i="11"/>
  <c r="R3987" i="11"/>
  <c r="R3988" i="11"/>
  <c r="R3989" i="11"/>
  <c r="R3990" i="11"/>
  <c r="R3991" i="11"/>
  <c r="R3992" i="11"/>
  <c r="S3985" i="11"/>
  <c r="S3986" i="11"/>
  <c r="S3987" i="11"/>
  <c r="S3988" i="11"/>
  <c r="S3989" i="11"/>
  <c r="S3990" i="11"/>
  <c r="S3991" i="11"/>
  <c r="S3992" i="11"/>
  <c r="T3985" i="11"/>
  <c r="T3986" i="11"/>
  <c r="T3987" i="11"/>
  <c r="T3988" i="11"/>
  <c r="T3989" i="11"/>
  <c r="T3990" i="11"/>
  <c r="T3991" i="11"/>
  <c r="T3992" i="11"/>
  <c r="I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K3969" i="11"/>
  <c r="J3969" i="11" s="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K3958" i="11"/>
  <c r="N3958" i="11" s="1"/>
  <c r="K3954" i="11"/>
  <c r="N3954" i="11" s="1"/>
  <c r="K3949" i="11"/>
  <c r="N3949" i="11" s="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M3970" i="11" s="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N3950" i="11"/>
  <c r="N3951" i="11"/>
  <c r="N3952" i="11"/>
  <c r="N3953" i="11"/>
  <c r="N3955" i="11"/>
  <c r="N3956" i="11"/>
  <c r="N3957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J3949" i="11" l="1"/>
  <c r="J3958" i="11"/>
  <c r="J3954" i="11"/>
  <c r="I273" i="13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M3927" i="11" s="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I272" i="13" l="1"/>
  <c r="AZ272" i="13"/>
  <c r="K3918" i="11"/>
  <c r="J3918" i="11" s="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I271" i="13" l="1"/>
  <c r="AZ271" i="13"/>
  <c r="I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I269" i="13" l="1"/>
  <c r="AZ269" i="13"/>
  <c r="K3898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J3896" i="11" l="1"/>
  <c r="I268" i="13"/>
  <c r="AZ268" i="13"/>
  <c r="K3895" i="11"/>
  <c r="J3895" i="11" s="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K3887" i="11"/>
  <c r="J3887" i="11" s="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I267" i="13" l="1"/>
  <c r="AZ267" i="13"/>
  <c r="K3874" i="11"/>
  <c r="N3874" i="11" s="1"/>
  <c r="K3872" i="11"/>
  <c r="J3872" i="11" s="1"/>
  <c r="U3870" i="11"/>
  <c r="V3870" i="11"/>
  <c r="V3869" i="11"/>
  <c r="K3870" i="11"/>
  <c r="N3870" i="11" s="1"/>
  <c r="G3870" i="11"/>
  <c r="M3870" i="11" s="1"/>
  <c r="L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74" i="11" l="1"/>
  <c r="J3865" i="11"/>
  <c r="I266" i="13"/>
  <c r="AZ266" i="13"/>
  <c r="K384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J3833" i="11" l="1"/>
  <c r="I265" i="13"/>
  <c r="AZ265" i="13"/>
  <c r="K3812" i="11"/>
  <c r="N3812" i="11" s="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J3812" i="11" l="1"/>
  <c r="G3802" i="1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I264" i="13" l="1"/>
  <c r="AZ264" i="13"/>
  <c r="I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I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I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I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I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I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I257" i="13" l="1"/>
  <c r="AZ257" i="13"/>
  <c r="I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I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I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I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I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I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I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I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I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I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I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I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I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I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I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I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I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I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I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I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I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I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I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I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I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I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I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I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I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I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I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I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I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I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I221" i="13"/>
  <c r="AZ221" i="13"/>
  <c r="I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I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I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81" i="13" l="1"/>
  <c r="AA281" i="13"/>
  <c r="AM281" i="13"/>
  <c r="BC281" i="13"/>
  <c r="BS281" i="13"/>
  <c r="D281" i="13"/>
  <c r="P281" i="13"/>
  <c r="AB281" i="13"/>
  <c r="BD281" i="13"/>
  <c r="BT281" i="13"/>
  <c r="E281" i="13"/>
  <c r="Q281" i="13"/>
  <c r="AC281" i="13"/>
  <c r="AS281" i="13"/>
  <c r="BE281" i="13"/>
  <c r="BU281" i="13"/>
  <c r="R281" i="13"/>
  <c r="AD281" i="13"/>
  <c r="AT281" i="13"/>
  <c r="F281" i="13"/>
  <c r="BF281" i="13"/>
  <c r="G281" i="13"/>
  <c r="S281" i="13"/>
  <c r="AE281" i="13"/>
  <c r="AU281" i="13"/>
  <c r="BG281" i="13"/>
  <c r="V281" i="13"/>
  <c r="H281" i="13"/>
  <c r="T281" i="13"/>
  <c r="AF281" i="13"/>
  <c r="AV281" i="13"/>
  <c r="BH281" i="13"/>
  <c r="AG281" i="13"/>
  <c r="AW281" i="13"/>
  <c r="AH281" i="13"/>
  <c r="BN281" i="13"/>
  <c r="U281" i="13"/>
  <c r="AX281" i="13"/>
  <c r="J281" i="13"/>
  <c r="K281" i="13"/>
  <c r="W281" i="13"/>
  <c r="AI281" i="13"/>
  <c r="AY281" i="13"/>
  <c r="BO281" i="13"/>
  <c r="X281" i="13"/>
  <c r="BP281" i="13"/>
  <c r="L281" i="13"/>
  <c r="AJ281" i="13"/>
  <c r="M281" i="13"/>
  <c r="Y281" i="13"/>
  <c r="AK281" i="13"/>
  <c r="BA281" i="13"/>
  <c r="BQ281" i="13"/>
  <c r="Z281" i="13"/>
  <c r="AL281" i="13"/>
  <c r="BB281" i="13"/>
  <c r="N281" i="13"/>
  <c r="BR281" i="13"/>
  <c r="AG280" i="13"/>
  <c r="AF279" i="13"/>
  <c r="BH279" i="13"/>
  <c r="H280" i="13"/>
  <c r="S280" i="13"/>
  <c r="AW280" i="13"/>
  <c r="AG279" i="13"/>
  <c r="T279" i="13"/>
  <c r="AX280" i="13"/>
  <c r="AV279" i="13"/>
  <c r="AX279" i="13"/>
  <c r="G279" i="13"/>
  <c r="H279" i="13"/>
  <c r="S279" i="13"/>
  <c r="T280" i="13"/>
  <c r="AF280" i="13"/>
  <c r="AW279" i="13"/>
  <c r="BN280" i="13"/>
  <c r="BO280" i="13"/>
  <c r="G280" i="13"/>
  <c r="BN279" i="13"/>
  <c r="BO279" i="13"/>
  <c r="AE279" i="13"/>
  <c r="U280" i="13"/>
  <c r="D280" i="13"/>
  <c r="BS280" i="13"/>
  <c r="AL279" i="13"/>
  <c r="E279" i="13"/>
  <c r="AL280" i="13"/>
  <c r="Q279" i="13"/>
  <c r="Z280" i="13"/>
  <c r="X279" i="13"/>
  <c r="BC279" i="13"/>
  <c r="W279" i="13"/>
  <c r="BT280" i="13"/>
  <c r="AS279" i="13"/>
  <c r="U279" i="13"/>
  <c r="M280" i="13"/>
  <c r="D279" i="13"/>
  <c r="BS279" i="13"/>
  <c r="AB280" i="13"/>
  <c r="AU280" i="13"/>
  <c r="W280" i="13"/>
  <c r="BE279" i="13"/>
  <c r="K280" i="13"/>
  <c r="J280" i="13"/>
  <c r="O279" i="13"/>
  <c r="F279" i="13"/>
  <c r="BH280" i="13"/>
  <c r="BT279" i="13"/>
  <c r="AM280" i="13"/>
  <c r="M279" i="13"/>
  <c r="AV280" i="13"/>
  <c r="AM279" i="13"/>
  <c r="BB280" i="13"/>
  <c r="BC280" i="13"/>
  <c r="Q280" i="13"/>
  <c r="AJ279" i="13"/>
  <c r="AD280" i="13"/>
  <c r="BR279" i="13"/>
  <c r="AA280" i="13"/>
  <c r="V279" i="13"/>
  <c r="BF280" i="13"/>
  <c r="BG280" i="13"/>
  <c r="K279" i="13"/>
  <c r="AH279" i="13"/>
  <c r="E280" i="13"/>
  <c r="BR280" i="13"/>
  <c r="AB279" i="13"/>
  <c r="P279" i="13"/>
  <c r="BA280" i="13"/>
  <c r="BQ280" i="13"/>
  <c r="AT280" i="13"/>
  <c r="AJ280" i="13"/>
  <c r="O280" i="13"/>
  <c r="V280" i="13"/>
  <c r="X280" i="13"/>
  <c r="BU279" i="13"/>
  <c r="AK279" i="13"/>
  <c r="AC279" i="13"/>
  <c r="N279" i="13"/>
  <c r="BU280" i="13"/>
  <c r="Y279" i="13"/>
  <c r="AA279" i="13"/>
  <c r="N280" i="13"/>
  <c r="AS280" i="13"/>
  <c r="L279" i="13"/>
  <c r="F280" i="13"/>
  <c r="Z279" i="13"/>
  <c r="R280" i="13"/>
  <c r="BG279" i="13"/>
  <c r="BD280" i="13"/>
  <c r="AK280" i="13"/>
  <c r="BA279" i="13"/>
  <c r="AT279" i="13"/>
  <c r="BQ279" i="13"/>
  <c r="BF279" i="13"/>
  <c r="BP279" i="13"/>
  <c r="AD279" i="13"/>
  <c r="Y280" i="13"/>
  <c r="AI279" i="13"/>
  <c r="AY279" i="13"/>
  <c r="L280" i="13"/>
  <c r="AC280" i="13"/>
  <c r="P280" i="13"/>
  <c r="R279" i="13"/>
  <c r="J279" i="13"/>
  <c r="AE280" i="13"/>
  <c r="BE280" i="13"/>
  <c r="BP280" i="13"/>
  <c r="AU279" i="13"/>
  <c r="AI280" i="13"/>
  <c r="AY280" i="13"/>
  <c r="BB279" i="13"/>
  <c r="BD279" i="13"/>
  <c r="AH280" i="13"/>
  <c r="N278" i="13"/>
  <c r="AA278" i="13"/>
  <c r="AM278" i="13"/>
  <c r="BC278" i="13"/>
  <c r="BS278" i="13"/>
  <c r="D278" i="13"/>
  <c r="O278" i="13"/>
  <c r="AB278" i="13"/>
  <c r="BD278" i="13"/>
  <c r="BT278" i="13"/>
  <c r="BA278" i="13"/>
  <c r="BR278" i="13"/>
  <c r="V278" i="13"/>
  <c r="P278" i="13"/>
  <c r="AC278" i="13"/>
  <c r="AS278" i="13"/>
  <c r="BE278" i="13"/>
  <c r="BU278" i="13"/>
  <c r="E278" i="13"/>
  <c r="Q278" i="13"/>
  <c r="AD278" i="13"/>
  <c r="AT278" i="13"/>
  <c r="BF278" i="13"/>
  <c r="AF278" i="13"/>
  <c r="AV278" i="13"/>
  <c r="L278" i="13"/>
  <c r="Z278" i="13"/>
  <c r="F278" i="13"/>
  <c r="R278" i="13"/>
  <c r="AE278" i="13"/>
  <c r="AU278" i="13"/>
  <c r="BG278" i="13"/>
  <c r="BH278" i="13"/>
  <c r="AK278" i="13"/>
  <c r="M278" i="13"/>
  <c r="G278" i="13"/>
  <c r="S278" i="13"/>
  <c r="H278" i="13"/>
  <c r="T278" i="13"/>
  <c r="AG278" i="13"/>
  <c r="AW278" i="13"/>
  <c r="AI278" i="13"/>
  <c r="BO278" i="13"/>
  <c r="K278" i="13"/>
  <c r="AJ278" i="13"/>
  <c r="Y278" i="13"/>
  <c r="AL278" i="13"/>
  <c r="U278" i="13"/>
  <c r="AH278" i="13"/>
  <c r="AX278" i="13"/>
  <c r="BN278" i="13"/>
  <c r="J278" i="13"/>
  <c r="W278" i="13"/>
  <c r="AY278" i="13"/>
  <c r="X278" i="13"/>
  <c r="BP278" i="13"/>
  <c r="BQ278" i="13"/>
  <c r="BB278" i="13"/>
  <c r="D277" i="13"/>
  <c r="V277" i="13"/>
  <c r="P277" i="13"/>
  <c r="AC277" i="13"/>
  <c r="AS277" i="13"/>
  <c r="BE277" i="13"/>
  <c r="BU277" i="13"/>
  <c r="Q277" i="13"/>
  <c r="AD277" i="13"/>
  <c r="AT277" i="13"/>
  <c r="BF277" i="13"/>
  <c r="BR277" i="13"/>
  <c r="BS277" i="13"/>
  <c r="O277" i="13"/>
  <c r="E277" i="13"/>
  <c r="F277" i="13"/>
  <c r="R277" i="13"/>
  <c r="AE277" i="13"/>
  <c r="AU277" i="13"/>
  <c r="BG277" i="13"/>
  <c r="S277" i="13"/>
  <c r="AF277" i="13"/>
  <c r="AV277" i="13"/>
  <c r="BH277" i="13"/>
  <c r="AK277" i="13"/>
  <c r="Z277" i="13"/>
  <c r="AA277" i="13"/>
  <c r="AB277" i="13"/>
  <c r="G277" i="13"/>
  <c r="H277" i="13"/>
  <c r="T277" i="13"/>
  <c r="AG277" i="13"/>
  <c r="AW277" i="13"/>
  <c r="AH277" i="13"/>
  <c r="BN277" i="13"/>
  <c r="Y277" i="13"/>
  <c r="BC277" i="13"/>
  <c r="U277" i="13"/>
  <c r="AX277" i="13"/>
  <c r="BA277" i="13"/>
  <c r="AL277" i="13"/>
  <c r="AM277" i="13"/>
  <c r="BD277" i="13"/>
  <c r="J277" i="13"/>
  <c r="W277" i="13"/>
  <c r="AI277" i="13"/>
  <c r="AY277" i="13"/>
  <c r="BO277" i="13"/>
  <c r="X277" i="13"/>
  <c r="AJ277" i="13"/>
  <c r="BP277" i="13"/>
  <c r="BQ277" i="13"/>
  <c r="BB277" i="13"/>
  <c r="BT277" i="13"/>
  <c r="K277" i="13"/>
  <c r="L277" i="13"/>
  <c r="M277" i="13"/>
  <c r="N277" i="13"/>
  <c r="N276" i="13"/>
  <c r="AA276" i="13"/>
  <c r="AM276" i="13"/>
  <c r="BC276" i="13"/>
  <c r="BS276" i="13"/>
  <c r="Z275" i="13"/>
  <c r="AK275" i="13"/>
  <c r="BB275" i="13"/>
  <c r="BS275" i="13"/>
  <c r="O276" i="13"/>
  <c r="AB276" i="13"/>
  <c r="BD276" i="13"/>
  <c r="BT276" i="13"/>
  <c r="J275" i="13"/>
  <c r="AL275" i="13"/>
  <c r="BC275" i="13"/>
  <c r="AS276" i="13"/>
  <c r="BU275" i="13"/>
  <c r="L275" i="13"/>
  <c r="D276" i="13"/>
  <c r="AA275" i="13"/>
  <c r="BU276" i="13"/>
  <c r="V276" i="13"/>
  <c r="P276" i="13"/>
  <c r="AB275" i="13"/>
  <c r="R275" i="13"/>
  <c r="E276" i="13"/>
  <c r="Q276" i="13"/>
  <c r="AD276" i="13"/>
  <c r="AT276" i="13"/>
  <c r="BF276" i="13"/>
  <c r="K275" i="13"/>
  <c r="P275" i="13"/>
  <c r="V275" i="13"/>
  <c r="AS275" i="13"/>
  <c r="BE275" i="13"/>
  <c r="R276" i="13"/>
  <c r="AE276" i="13"/>
  <c r="AU276" i="13"/>
  <c r="BG276" i="13"/>
  <c r="Q275" i="13"/>
  <c r="AC275" i="13"/>
  <c r="AT275" i="13"/>
  <c r="BF275" i="13"/>
  <c r="S276" i="13"/>
  <c r="AU275" i="13"/>
  <c r="F276" i="13"/>
  <c r="D275" i="13"/>
  <c r="AF276" i="13"/>
  <c r="G276" i="13"/>
  <c r="H276" i="13"/>
  <c r="T276" i="13"/>
  <c r="AG276" i="13"/>
  <c r="AW276" i="13"/>
  <c r="E275" i="13"/>
  <c r="S275" i="13"/>
  <c r="AE275" i="13"/>
  <c r="AV275" i="13"/>
  <c r="BH275" i="13"/>
  <c r="W276" i="13"/>
  <c r="AY276" i="13"/>
  <c r="BO276" i="13"/>
  <c r="AG275" i="13"/>
  <c r="AX275" i="13"/>
  <c r="AC276" i="13"/>
  <c r="BD275" i="13"/>
  <c r="AD275" i="13"/>
  <c r="U276" i="13"/>
  <c r="AH276" i="13"/>
  <c r="AX276" i="13"/>
  <c r="BN276" i="13"/>
  <c r="F275" i="13"/>
  <c r="T275" i="13"/>
  <c r="AF275" i="13"/>
  <c r="AW275" i="13"/>
  <c r="BN275" i="13"/>
  <c r="AI276" i="13"/>
  <c r="G275" i="13"/>
  <c r="U275" i="13"/>
  <c r="BO275" i="13"/>
  <c r="BT275" i="13"/>
  <c r="BE276" i="13"/>
  <c r="AV276" i="13"/>
  <c r="J276" i="13"/>
  <c r="AM275" i="13"/>
  <c r="BH276" i="13"/>
  <c r="K276" i="13"/>
  <c r="X276" i="13"/>
  <c r="AJ276" i="13"/>
  <c r="BP276" i="13"/>
  <c r="N275" i="13"/>
  <c r="W275" i="13"/>
  <c r="AH275" i="13"/>
  <c r="AY275" i="13"/>
  <c r="BP275" i="13"/>
  <c r="Z276" i="13"/>
  <c r="BB276" i="13"/>
  <c r="H275" i="13"/>
  <c r="AJ275" i="13"/>
  <c r="BR275" i="13"/>
  <c r="O275" i="13"/>
  <c r="BG275" i="13"/>
  <c r="L276" i="13"/>
  <c r="Y276" i="13"/>
  <c r="AK276" i="13"/>
  <c r="BA276" i="13"/>
  <c r="BQ276" i="13"/>
  <c r="M275" i="13"/>
  <c r="X275" i="13"/>
  <c r="AI275" i="13"/>
  <c r="BQ275" i="13"/>
  <c r="AL276" i="13"/>
  <c r="BR276" i="13"/>
  <c r="Y275" i="13"/>
  <c r="BA275" i="13"/>
  <c r="M276" i="13"/>
  <c r="K274" i="13"/>
  <c r="P274" i="13"/>
  <c r="V274" i="13"/>
  <c r="BD274" i="13"/>
  <c r="BT274" i="13"/>
  <c r="D274" i="13"/>
  <c r="Q274" i="13"/>
  <c r="AC274" i="13"/>
  <c r="AS274" i="13"/>
  <c r="BE274" i="13"/>
  <c r="BU274" i="13"/>
  <c r="L274" i="13"/>
  <c r="R274" i="13"/>
  <c r="AD274" i="13"/>
  <c r="AT274" i="13"/>
  <c r="BF274" i="13"/>
  <c r="W274" i="13"/>
  <c r="AX274" i="13"/>
  <c r="X274" i="13"/>
  <c r="AI274" i="13"/>
  <c r="BO274" i="13"/>
  <c r="H274" i="13"/>
  <c r="AJ274" i="13"/>
  <c r="Z274" i="13"/>
  <c r="BQ274" i="13"/>
  <c r="J274" i="13"/>
  <c r="E274" i="13"/>
  <c r="S274" i="13"/>
  <c r="AE274" i="13"/>
  <c r="AU274" i="13"/>
  <c r="BG274" i="13"/>
  <c r="F274" i="13"/>
  <c r="T274" i="13"/>
  <c r="AF274" i="13"/>
  <c r="AV274" i="13"/>
  <c r="BH274" i="13"/>
  <c r="G274" i="13"/>
  <c r="U274" i="13"/>
  <c r="AG274" i="13"/>
  <c r="AW274" i="13"/>
  <c r="N274" i="13"/>
  <c r="AH274" i="13"/>
  <c r="BN274" i="13"/>
  <c r="M274" i="13"/>
  <c r="AY274" i="13"/>
  <c r="Y274" i="13"/>
  <c r="BP274" i="13"/>
  <c r="AK274" i="13"/>
  <c r="BA274" i="13"/>
  <c r="AA274" i="13"/>
  <c r="AL274" i="13"/>
  <c r="BB274" i="13"/>
  <c r="BR274" i="13"/>
  <c r="O274" i="13"/>
  <c r="AB274" i="13"/>
  <c r="AM274" i="13"/>
  <c r="BC274" i="13"/>
  <c r="BS274" i="13"/>
  <c r="O273" i="13"/>
  <c r="AB273" i="13"/>
  <c r="AM273" i="13"/>
  <c r="BC273" i="13"/>
  <c r="BS273" i="13"/>
  <c r="K273" i="13"/>
  <c r="P273" i="13"/>
  <c r="V273" i="13"/>
  <c r="BD273" i="13"/>
  <c r="BT273" i="13"/>
  <c r="D273" i="13"/>
  <c r="Q273" i="13"/>
  <c r="AC273" i="13"/>
  <c r="AS273" i="13"/>
  <c r="BE273" i="13"/>
  <c r="BU273" i="13"/>
  <c r="AD273" i="13"/>
  <c r="L273" i="13"/>
  <c r="R273" i="13"/>
  <c r="AT273" i="13"/>
  <c r="BF273" i="13"/>
  <c r="E273" i="13"/>
  <c r="S273" i="13"/>
  <c r="AE273" i="13"/>
  <c r="AU273" i="13"/>
  <c r="BG273" i="13"/>
  <c r="F273" i="13"/>
  <c r="T273" i="13"/>
  <c r="AF273" i="13"/>
  <c r="AV273" i="13"/>
  <c r="BH273" i="13"/>
  <c r="G273" i="13"/>
  <c r="U273" i="13"/>
  <c r="AG273" i="13"/>
  <c r="AW273" i="13"/>
  <c r="Z273" i="13"/>
  <c r="AL273" i="13"/>
  <c r="N273" i="13"/>
  <c r="W273" i="13"/>
  <c r="AH273" i="13"/>
  <c r="AX273" i="13"/>
  <c r="BN273" i="13"/>
  <c r="BA273" i="13"/>
  <c r="AA273" i="13"/>
  <c r="BR273" i="13"/>
  <c r="M273" i="13"/>
  <c r="X273" i="13"/>
  <c r="AI273" i="13"/>
  <c r="AY273" i="13"/>
  <c r="BO273" i="13"/>
  <c r="AK273" i="13"/>
  <c r="J273" i="13"/>
  <c r="H273" i="13"/>
  <c r="Y273" i="13"/>
  <c r="AJ273" i="13"/>
  <c r="BP273" i="13"/>
  <c r="BQ273" i="13"/>
  <c r="BB273" i="13"/>
  <c r="O272" i="13"/>
  <c r="AB272" i="13"/>
  <c r="AM272" i="13"/>
  <c r="BC272" i="13"/>
  <c r="BS272" i="13"/>
  <c r="K272" i="13"/>
  <c r="P272" i="13"/>
  <c r="V272" i="13"/>
  <c r="BD272" i="13"/>
  <c r="BT272" i="13"/>
  <c r="D272" i="13"/>
  <c r="Q272" i="13"/>
  <c r="AC272" i="13"/>
  <c r="AS272" i="13"/>
  <c r="BE272" i="13"/>
  <c r="BU272" i="13"/>
  <c r="L272" i="13"/>
  <c r="R272" i="13"/>
  <c r="AD272" i="13"/>
  <c r="AT272" i="13"/>
  <c r="BF272" i="13"/>
  <c r="E272" i="13"/>
  <c r="S272" i="13"/>
  <c r="AE272" i="13"/>
  <c r="AU272" i="13"/>
  <c r="BG272" i="13"/>
  <c r="F272" i="13"/>
  <c r="T272" i="13"/>
  <c r="AF272" i="13"/>
  <c r="AV272" i="13"/>
  <c r="BH272" i="13"/>
  <c r="G272" i="13"/>
  <c r="U272" i="13"/>
  <c r="AG272" i="13"/>
  <c r="AW272" i="13"/>
  <c r="N272" i="13"/>
  <c r="W272" i="13"/>
  <c r="AH272" i="13"/>
  <c r="AX272" i="13"/>
  <c r="BN272" i="13"/>
  <c r="M272" i="13"/>
  <c r="X272" i="13"/>
  <c r="AI272" i="13"/>
  <c r="AY272" i="13"/>
  <c r="BO272" i="13"/>
  <c r="H272" i="13"/>
  <c r="Y272" i="13"/>
  <c r="AJ272" i="13"/>
  <c r="BP272" i="13"/>
  <c r="Z272" i="13"/>
  <c r="AK272" i="13"/>
  <c r="BA272" i="13"/>
  <c r="BQ272" i="13"/>
  <c r="J272" i="13"/>
  <c r="AA272" i="13"/>
  <c r="AL272" i="13"/>
  <c r="BB272" i="13"/>
  <c r="BR272" i="13"/>
  <c r="O271" i="13"/>
  <c r="AB271" i="13"/>
  <c r="AM271" i="13"/>
  <c r="BC271" i="13"/>
  <c r="BS271" i="13"/>
  <c r="H270" i="13"/>
  <c r="Y270" i="13"/>
  <c r="AJ270" i="13"/>
  <c r="BP270" i="13"/>
  <c r="P271" i="13"/>
  <c r="V271" i="13"/>
  <c r="BD271" i="13"/>
  <c r="BT271" i="13"/>
  <c r="Z270" i="13"/>
  <c r="BQ270" i="13"/>
  <c r="D270" i="13"/>
  <c r="U271" i="13"/>
  <c r="BF270" i="13"/>
  <c r="K271" i="13"/>
  <c r="AC270" i="13"/>
  <c r="AW271" i="13"/>
  <c r="AE270" i="13"/>
  <c r="D271" i="13"/>
  <c r="Q271" i="13"/>
  <c r="AC271" i="13"/>
  <c r="AS271" i="13"/>
  <c r="BE271" i="13"/>
  <c r="BU271" i="13"/>
  <c r="J270" i="13"/>
  <c r="AA270" i="13"/>
  <c r="AL270" i="13"/>
  <c r="BB270" i="13"/>
  <c r="BR270" i="13"/>
  <c r="AB270" i="13"/>
  <c r="BS270" i="13"/>
  <c r="AF271" i="13"/>
  <c r="L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E271" i="13"/>
  <c r="S271" i="13"/>
  <c r="AE271" i="13"/>
  <c r="AU271" i="13"/>
  <c r="BG271" i="13"/>
  <c r="K270" i="13"/>
  <c r="P270" i="13"/>
  <c r="V270" i="13"/>
  <c r="BD270" i="13"/>
  <c r="BT270" i="13"/>
  <c r="F271" i="13"/>
  <c r="AV271" i="13"/>
  <c r="BE270" i="13"/>
  <c r="L270" i="13"/>
  <c r="N271" i="13"/>
  <c r="W271" i="13"/>
  <c r="AH271" i="13"/>
  <c r="AX271" i="13"/>
  <c r="BN271" i="13"/>
  <c r="E270" i="13"/>
  <c r="M271" i="13"/>
  <c r="X271" i="13"/>
  <c r="AI271" i="13"/>
  <c r="AY271" i="13"/>
  <c r="BO271" i="13"/>
  <c r="F270" i="13"/>
  <c r="T270" i="13"/>
  <c r="AF270" i="13"/>
  <c r="AV270" i="13"/>
  <c r="BH270" i="13"/>
  <c r="AL271" i="13"/>
  <c r="BB271" i="13"/>
  <c r="X270" i="13"/>
  <c r="BO270" i="13"/>
  <c r="AK270" i="13"/>
  <c r="G271" i="13"/>
  <c r="H271" i="13"/>
  <c r="Y271" i="13"/>
  <c r="AJ271" i="13"/>
  <c r="BP271" i="13"/>
  <c r="G270" i="13"/>
  <c r="U270" i="13"/>
  <c r="AG270" i="13"/>
  <c r="AW270" i="13"/>
  <c r="AA271" i="13"/>
  <c r="BR271" i="13"/>
  <c r="AI270" i="13"/>
  <c r="AY270" i="13"/>
  <c r="AS270" i="13"/>
  <c r="R270" i="13"/>
  <c r="S270" i="13"/>
  <c r="Z271" i="13"/>
  <c r="AK271" i="13"/>
  <c r="BA271" i="13"/>
  <c r="BQ271" i="13"/>
  <c r="N270" i="13"/>
  <c r="W270" i="13"/>
  <c r="AH270" i="13"/>
  <c r="AX270" i="13"/>
  <c r="BN270" i="13"/>
  <c r="J271" i="13"/>
  <c r="M270" i="13"/>
  <c r="BA270" i="13"/>
  <c r="BH271" i="13"/>
  <c r="BU270" i="13"/>
  <c r="AD270" i="13"/>
  <c r="BG270" i="13"/>
  <c r="O269" i="13"/>
  <c r="AB269" i="13"/>
  <c r="AM269" i="13"/>
  <c r="BC269" i="13"/>
  <c r="BS269" i="13"/>
  <c r="AV269" i="13"/>
  <c r="AH269" i="13"/>
  <c r="K269" i="13"/>
  <c r="P269" i="13"/>
  <c r="V269" i="13"/>
  <c r="BD269" i="13"/>
  <c r="BT269" i="13"/>
  <c r="U269" i="13"/>
  <c r="D269" i="13"/>
  <c r="Q269" i="13"/>
  <c r="AC269" i="13"/>
  <c r="AS269" i="13"/>
  <c r="BE269" i="13"/>
  <c r="BU269" i="13"/>
  <c r="AW269" i="13"/>
  <c r="L269" i="13"/>
  <c r="R269" i="13"/>
  <c r="AD269" i="13"/>
  <c r="AT269" i="13"/>
  <c r="BF269" i="13"/>
  <c r="BH269" i="13"/>
  <c r="E269" i="13"/>
  <c r="S269" i="13"/>
  <c r="AE269" i="13"/>
  <c r="AU269" i="13"/>
  <c r="BG269" i="13"/>
  <c r="T269" i="13"/>
  <c r="AF269" i="13"/>
  <c r="AG269" i="13"/>
  <c r="W269" i="13"/>
  <c r="F269" i="13"/>
  <c r="G269" i="13"/>
  <c r="N269" i="13"/>
  <c r="M269" i="13"/>
  <c r="X269" i="13"/>
  <c r="AI269" i="13"/>
  <c r="AY269" i="13"/>
  <c r="BO269" i="13"/>
  <c r="BB269" i="13"/>
  <c r="BR269" i="13"/>
  <c r="AX269" i="13"/>
  <c r="H269" i="13"/>
  <c r="Y269" i="13"/>
  <c r="AJ269" i="13"/>
  <c r="BP269" i="13"/>
  <c r="AA269" i="13"/>
  <c r="Z269" i="13"/>
  <c r="AK269" i="13"/>
  <c r="BA269" i="13"/>
  <c r="BQ269" i="13"/>
  <c r="AL269" i="13"/>
  <c r="BN269" i="13"/>
  <c r="J269" i="13"/>
  <c r="W268" i="13"/>
  <c r="W256" i="13"/>
  <c r="W244" i="13"/>
  <c r="W232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67" i="13"/>
  <c r="W255" i="13"/>
  <c r="W243" i="13"/>
  <c r="W231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66" i="13"/>
  <c r="W254" i="13"/>
  <c r="W242" i="13"/>
  <c r="W230" i="13"/>
  <c r="W218" i="13"/>
  <c r="W206" i="13"/>
  <c r="W194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W265" i="13"/>
  <c r="W253" i="13"/>
  <c r="W241" i="13"/>
  <c r="W229" i="13"/>
  <c r="W217" i="13"/>
  <c r="W205" i="13"/>
  <c r="W193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W264" i="13"/>
  <c r="W252" i="13"/>
  <c r="W240" i="13"/>
  <c r="W228" i="13"/>
  <c r="W216" i="13"/>
  <c r="W204" i="13"/>
  <c r="W192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W263" i="13"/>
  <c r="W251" i="13"/>
  <c r="W239" i="13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62" i="13"/>
  <c r="W250" i="13"/>
  <c r="W238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61" i="13"/>
  <c r="W249" i="13"/>
  <c r="W237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60" i="13"/>
  <c r="W248" i="13"/>
  <c r="W236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59" i="13"/>
  <c r="W247" i="13"/>
  <c r="W235" i="13"/>
  <c r="W223" i="13"/>
  <c r="W211" i="13"/>
  <c r="W199" i="13"/>
  <c r="W187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W258" i="13"/>
  <c r="W246" i="13"/>
  <c r="W234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57" i="13"/>
  <c r="W245" i="13"/>
  <c r="W233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K268" i="13"/>
  <c r="P268" i="13"/>
  <c r="AC268" i="13"/>
  <c r="AS268" i="13"/>
  <c r="BE268" i="13"/>
  <c r="BU268" i="13"/>
  <c r="D268" i="13"/>
  <c r="Q268" i="13"/>
  <c r="AT268" i="13"/>
  <c r="AD268" i="13"/>
  <c r="L268" i="13"/>
  <c r="E268" i="13"/>
  <c r="S268" i="13"/>
  <c r="AF268" i="13"/>
  <c r="AV268" i="13"/>
  <c r="BH268" i="13"/>
  <c r="G268" i="13"/>
  <c r="U268" i="13"/>
  <c r="AX268" i="13"/>
  <c r="BN268" i="13"/>
  <c r="AE268" i="13"/>
  <c r="F268" i="13"/>
  <c r="T268" i="13"/>
  <c r="AG268" i="13"/>
  <c r="AW268" i="13"/>
  <c r="AH268" i="13"/>
  <c r="AU268" i="13"/>
  <c r="N268" i="13"/>
  <c r="X268" i="13"/>
  <c r="AI268" i="13"/>
  <c r="AY268" i="13"/>
  <c r="BO268" i="13"/>
  <c r="M268" i="13"/>
  <c r="Y268" i="13"/>
  <c r="AJ268" i="13"/>
  <c r="BP268" i="13"/>
  <c r="V268" i="13"/>
  <c r="BD268" i="13"/>
  <c r="H268" i="13"/>
  <c r="Z268" i="13"/>
  <c r="AK268" i="13"/>
  <c r="BA268" i="13"/>
  <c r="BQ268" i="13"/>
  <c r="BT268" i="13"/>
  <c r="R268" i="13"/>
  <c r="AA268" i="13"/>
  <c r="AL268" i="13"/>
  <c r="BB268" i="13"/>
  <c r="BR268" i="13"/>
  <c r="J268" i="13"/>
  <c r="AB268" i="13"/>
  <c r="AM268" i="13"/>
  <c r="BC268" i="13"/>
  <c r="BS268" i="13"/>
  <c r="O268" i="13"/>
  <c r="BF268" i="13"/>
  <c r="BG268" i="13"/>
  <c r="O267" i="13"/>
  <c r="V267" i="13"/>
  <c r="BD267" i="13"/>
  <c r="BT267" i="13"/>
  <c r="P267" i="13"/>
  <c r="AS267" i="13"/>
  <c r="BU267" i="13"/>
  <c r="K267" i="13"/>
  <c r="AC267" i="13"/>
  <c r="BE267" i="13"/>
  <c r="D267" i="13"/>
  <c r="Q267" i="13"/>
  <c r="AD267" i="13"/>
  <c r="AT267" i="13"/>
  <c r="BF267" i="13"/>
  <c r="L267" i="13"/>
  <c r="R267" i="13"/>
  <c r="AE267" i="13"/>
  <c r="AU267" i="13"/>
  <c r="BG267" i="13"/>
  <c r="E267" i="13"/>
  <c r="S267" i="13"/>
  <c r="AF267" i="13"/>
  <c r="AV267" i="13"/>
  <c r="BH267" i="13"/>
  <c r="T267" i="13"/>
  <c r="F267" i="13"/>
  <c r="AG267" i="13"/>
  <c r="AW267" i="13"/>
  <c r="G267" i="13"/>
  <c r="U267" i="13"/>
  <c r="AH267" i="13"/>
  <c r="AX267" i="13"/>
  <c r="BN267" i="13"/>
  <c r="N267" i="13"/>
  <c r="X267" i="13"/>
  <c r="AI267" i="13"/>
  <c r="AY267" i="13"/>
  <c r="BO267" i="13"/>
  <c r="M267" i="13"/>
  <c r="Y267" i="13"/>
  <c r="AJ267" i="13"/>
  <c r="BP267" i="13"/>
  <c r="AB267" i="13"/>
  <c r="BC267" i="13"/>
  <c r="H267" i="13"/>
  <c r="Z267" i="13"/>
  <c r="AK267" i="13"/>
  <c r="BA267" i="13"/>
  <c r="BQ267" i="13"/>
  <c r="AM267" i="13"/>
  <c r="BS267" i="13"/>
  <c r="AA267" i="13"/>
  <c r="AL267" i="13"/>
  <c r="BB267" i="13"/>
  <c r="BR267" i="13"/>
  <c r="J267" i="13"/>
  <c r="O266" i="13"/>
  <c r="V266" i="13"/>
  <c r="BD266" i="13"/>
  <c r="BT266" i="13"/>
  <c r="K266" i="13"/>
  <c r="P266" i="13"/>
  <c r="AC266" i="13"/>
  <c r="AS266" i="13"/>
  <c r="BE266" i="13"/>
  <c r="BU266" i="13"/>
  <c r="D266" i="13"/>
  <c r="Q266" i="13"/>
  <c r="AD266" i="13"/>
  <c r="AT266" i="13"/>
  <c r="BF266" i="13"/>
  <c r="L266" i="13"/>
  <c r="R266" i="13"/>
  <c r="AE266" i="13"/>
  <c r="AU266" i="13"/>
  <c r="BG266" i="13"/>
  <c r="E266" i="13"/>
  <c r="S266" i="13"/>
  <c r="AF266" i="13"/>
  <c r="AV266" i="13"/>
  <c r="BH266" i="13"/>
  <c r="F266" i="13"/>
  <c r="T266" i="13"/>
  <c r="AG266" i="13"/>
  <c r="AW266" i="13"/>
  <c r="G266" i="13"/>
  <c r="U266" i="13"/>
  <c r="AH266" i="13"/>
  <c r="AX266" i="13"/>
  <c r="BN266" i="13"/>
  <c r="N266" i="13"/>
  <c r="X266" i="13"/>
  <c r="AI266" i="13"/>
  <c r="AY266" i="13"/>
  <c r="BO266" i="13"/>
  <c r="M266" i="13"/>
  <c r="Y266" i="13"/>
  <c r="AJ266" i="13"/>
  <c r="BP266" i="13"/>
  <c r="H266" i="13"/>
  <c r="Z266" i="13"/>
  <c r="AK266" i="13"/>
  <c r="BA266" i="13"/>
  <c r="BQ266" i="13"/>
  <c r="AA266" i="13"/>
  <c r="AL266" i="13"/>
  <c r="BB266" i="13"/>
  <c r="BR266" i="13"/>
  <c r="J266" i="13"/>
  <c r="AB266" i="13"/>
  <c r="AM266" i="13"/>
  <c r="BC266" i="13"/>
  <c r="BS266" i="13"/>
  <c r="O265" i="13"/>
  <c r="V265" i="13"/>
  <c r="BD265" i="13"/>
  <c r="BT265" i="13"/>
  <c r="K265" i="13"/>
  <c r="P265" i="13"/>
  <c r="AC265" i="13"/>
  <c r="AS265" i="13"/>
  <c r="BE265" i="13"/>
  <c r="BU265" i="13"/>
  <c r="D265" i="13"/>
  <c r="Q265" i="13"/>
  <c r="AD265" i="13"/>
  <c r="AT265" i="13"/>
  <c r="BF265" i="13"/>
  <c r="L265" i="13"/>
  <c r="R265" i="13"/>
  <c r="AE265" i="13"/>
  <c r="AU265" i="13"/>
  <c r="BG265" i="13"/>
  <c r="E265" i="13"/>
  <c r="S265" i="13"/>
  <c r="AF265" i="13"/>
  <c r="AV265" i="13"/>
  <c r="BH265" i="13"/>
  <c r="F265" i="13"/>
  <c r="T265" i="13"/>
  <c r="AG265" i="13"/>
  <c r="AW265" i="13"/>
  <c r="G265" i="13"/>
  <c r="U265" i="13"/>
  <c r="AH265" i="13"/>
  <c r="AX265" i="13"/>
  <c r="BN265" i="13"/>
  <c r="N265" i="13"/>
  <c r="X265" i="13"/>
  <c r="AI265" i="13"/>
  <c r="AY265" i="13"/>
  <c r="BO265" i="13"/>
  <c r="M265" i="13"/>
  <c r="Y265" i="13"/>
  <c r="AJ265" i="13"/>
  <c r="BP265" i="13"/>
  <c r="H265" i="13"/>
  <c r="Z265" i="13"/>
  <c r="AK265" i="13"/>
  <c r="BA265" i="13"/>
  <c r="BQ265" i="13"/>
  <c r="AA265" i="13"/>
  <c r="AL265" i="13"/>
  <c r="BB265" i="13"/>
  <c r="BR265" i="13"/>
  <c r="J265" i="13"/>
  <c r="AB265" i="13"/>
  <c r="AM265" i="13"/>
  <c r="BC265" i="13"/>
  <c r="BS265" i="13"/>
  <c r="O264" i="13"/>
  <c r="V264" i="13"/>
  <c r="BD264" i="13"/>
  <c r="BT264" i="13"/>
  <c r="AA263" i="13"/>
  <c r="AL263" i="13"/>
  <c r="BB263" i="13"/>
  <c r="BR263" i="13"/>
  <c r="AD264" i="13"/>
  <c r="BF264" i="13"/>
  <c r="BD263" i="13"/>
  <c r="R264" i="13"/>
  <c r="K263" i="13"/>
  <c r="AS263" i="13"/>
  <c r="BP263" i="13"/>
  <c r="K264" i="13"/>
  <c r="P264" i="13"/>
  <c r="AC264" i="13"/>
  <c r="AS264" i="13"/>
  <c r="BE264" i="13"/>
  <c r="BU264" i="13"/>
  <c r="J263" i="13"/>
  <c r="AB263" i="13"/>
  <c r="AM263" i="13"/>
  <c r="BC263" i="13"/>
  <c r="BS263" i="13"/>
  <c r="Q264" i="13"/>
  <c r="V263" i="13"/>
  <c r="AU264" i="13"/>
  <c r="P263" i="13"/>
  <c r="BE263" i="13"/>
  <c r="M263" i="13"/>
  <c r="D264" i="13"/>
  <c r="L264" i="13"/>
  <c r="E264" i="13"/>
  <c r="S264" i="13"/>
  <c r="AF264" i="13"/>
  <c r="AV264" i="13"/>
  <c r="BH264" i="13"/>
  <c r="D263" i="13"/>
  <c r="Q263" i="13"/>
  <c r="AD263" i="13"/>
  <c r="AT263" i="13"/>
  <c r="BF263" i="13"/>
  <c r="T264" i="13"/>
  <c r="AG264" i="13"/>
  <c r="AW264" i="13"/>
  <c r="L263" i="13"/>
  <c r="R263" i="13"/>
  <c r="AE263" i="13"/>
  <c r="AU263" i="13"/>
  <c r="BG263" i="13"/>
  <c r="BB264" i="13"/>
  <c r="F264" i="13"/>
  <c r="G264" i="13"/>
  <c r="U264" i="13"/>
  <c r="AH264" i="13"/>
  <c r="AX264" i="13"/>
  <c r="BN264" i="13"/>
  <c r="E263" i="13"/>
  <c r="S263" i="13"/>
  <c r="AF263" i="13"/>
  <c r="AV263" i="13"/>
  <c r="BH263" i="13"/>
  <c r="X264" i="13"/>
  <c r="AI264" i="13"/>
  <c r="AY264" i="13"/>
  <c r="BO264" i="13"/>
  <c r="F263" i="13"/>
  <c r="T263" i="13"/>
  <c r="AG263" i="13"/>
  <c r="AW263" i="13"/>
  <c r="AL264" i="13"/>
  <c r="AJ263" i="13"/>
  <c r="N264" i="13"/>
  <c r="M264" i="13"/>
  <c r="Y264" i="13"/>
  <c r="AJ264" i="13"/>
  <c r="BP264" i="13"/>
  <c r="G263" i="13"/>
  <c r="U263" i="13"/>
  <c r="AH263" i="13"/>
  <c r="AX263" i="13"/>
  <c r="BN263" i="13"/>
  <c r="Z264" i="13"/>
  <c r="AK264" i="13"/>
  <c r="BA264" i="13"/>
  <c r="BQ264" i="13"/>
  <c r="N263" i="13"/>
  <c r="X263" i="13"/>
  <c r="AI263" i="13"/>
  <c r="AY263" i="13"/>
  <c r="BO263" i="13"/>
  <c r="BR264" i="13"/>
  <c r="H264" i="13"/>
  <c r="AA264" i="13"/>
  <c r="J264" i="13"/>
  <c r="AB264" i="13"/>
  <c r="AM264" i="13"/>
  <c r="BC264" i="13"/>
  <c r="BS264" i="13"/>
  <c r="H263" i="13"/>
  <c r="Z263" i="13"/>
  <c r="AK263" i="13"/>
  <c r="BA263" i="13"/>
  <c r="BQ263" i="13"/>
  <c r="AT264" i="13"/>
  <c r="O263" i="13"/>
  <c r="BT263" i="13"/>
  <c r="AE264" i="13"/>
  <c r="BG264" i="13"/>
  <c r="AC263" i="13"/>
  <c r="BU263" i="13"/>
  <c r="Y263" i="13"/>
  <c r="O262" i="13"/>
  <c r="AS262" i="13"/>
  <c r="AD262" i="13"/>
  <c r="K262" i="13"/>
  <c r="D262" i="13"/>
  <c r="L262" i="13"/>
  <c r="E262" i="13"/>
  <c r="F262" i="13"/>
  <c r="T262" i="13"/>
  <c r="AG262" i="13"/>
  <c r="AW262" i="13"/>
  <c r="G262" i="13"/>
  <c r="U262" i="13"/>
  <c r="AH262" i="13"/>
  <c r="AX262" i="13"/>
  <c r="BN262" i="13"/>
  <c r="X262" i="13"/>
  <c r="AI262" i="13"/>
  <c r="AY262" i="13"/>
  <c r="BO262" i="13"/>
  <c r="AJ262" i="13"/>
  <c r="BP262" i="13"/>
  <c r="N262" i="13"/>
  <c r="Y262" i="13"/>
  <c r="AV262" i="13"/>
  <c r="M262" i="13"/>
  <c r="H262" i="13"/>
  <c r="Z262" i="13"/>
  <c r="AK262" i="13"/>
  <c r="BA262" i="13"/>
  <c r="BQ262" i="13"/>
  <c r="AC262" i="13"/>
  <c r="Q262" i="13"/>
  <c r="BF262" i="13"/>
  <c r="AE262" i="13"/>
  <c r="BG262" i="13"/>
  <c r="S262" i="13"/>
  <c r="BH262" i="13"/>
  <c r="AA262" i="13"/>
  <c r="AL262" i="13"/>
  <c r="BB262" i="13"/>
  <c r="BR262" i="13"/>
  <c r="BT262" i="13"/>
  <c r="P262" i="13"/>
  <c r="BE262" i="13"/>
  <c r="AU262" i="13"/>
  <c r="J262" i="13"/>
  <c r="AB262" i="13"/>
  <c r="AM262" i="13"/>
  <c r="BC262" i="13"/>
  <c r="BS262" i="13"/>
  <c r="V262" i="13"/>
  <c r="BD262" i="13"/>
  <c r="BU262" i="13"/>
  <c r="AT262" i="13"/>
  <c r="R262" i="13"/>
  <c r="AF262" i="13"/>
  <c r="G2074" i="11"/>
  <c r="M2074" i="11" s="1"/>
  <c r="K261" i="13"/>
  <c r="L253" i="13"/>
  <c r="L241" i="13"/>
  <c r="L229" i="13"/>
  <c r="L193" i="13"/>
  <c r="L169" i="13"/>
  <c r="L121" i="13"/>
  <c r="L61" i="13"/>
  <c r="L144" i="13"/>
  <c r="L60" i="13"/>
  <c r="L131" i="13"/>
  <c r="L35" i="13"/>
  <c r="L70" i="13"/>
  <c r="L189" i="13"/>
  <c r="L93" i="13"/>
  <c r="K259" i="13"/>
  <c r="L252" i="13"/>
  <c r="L240" i="13"/>
  <c r="L228" i="13"/>
  <c r="L216" i="13"/>
  <c r="L204" i="13"/>
  <c r="L192" i="13"/>
  <c r="L180" i="13"/>
  <c r="L168" i="13"/>
  <c r="L132" i="13"/>
  <c r="L84" i="13"/>
  <c r="L107" i="13"/>
  <c r="L23" i="13"/>
  <c r="L82" i="13"/>
  <c r="L237" i="13"/>
  <c r="L57" i="13"/>
  <c r="K258" i="13"/>
  <c r="L251" i="13"/>
  <c r="L239" i="13"/>
  <c r="L227" i="13"/>
  <c r="L215" i="13"/>
  <c r="L203" i="13"/>
  <c r="L191" i="13"/>
  <c r="L179" i="13"/>
  <c r="L167" i="13"/>
  <c r="L155" i="13"/>
  <c r="L71" i="13"/>
  <c r="L34" i="13"/>
  <c r="L213" i="13"/>
  <c r="L69" i="13"/>
  <c r="K260" i="13"/>
  <c r="L250" i="13"/>
  <c r="L238" i="13"/>
  <c r="L226" i="13"/>
  <c r="L214" i="13"/>
  <c r="L202" i="13"/>
  <c r="L190" i="13"/>
  <c r="L178" i="13"/>
  <c r="L166" i="13"/>
  <c r="L154" i="13"/>
  <c r="L142" i="13"/>
  <c r="L46" i="13"/>
  <c r="L141" i="13"/>
  <c r="L9" i="13"/>
  <c r="L261" i="13"/>
  <c r="L249" i="13"/>
  <c r="L165" i="13"/>
  <c r="L260" i="13"/>
  <c r="L248" i="13"/>
  <c r="L236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59" i="13"/>
  <c r="L247" i="13"/>
  <c r="L235" i="13"/>
  <c r="L223" i="13"/>
  <c r="L211" i="13"/>
  <c r="L199" i="13"/>
  <c r="L187" i="13"/>
  <c r="L175" i="13"/>
  <c r="L163" i="13"/>
  <c r="L151" i="13"/>
  <c r="L139" i="13"/>
  <c r="L127" i="13"/>
  <c r="L115" i="13"/>
  <c r="L103" i="13"/>
  <c r="L91" i="13"/>
  <c r="L79" i="13"/>
  <c r="L67" i="13"/>
  <c r="L55" i="13"/>
  <c r="L31" i="13"/>
  <c r="L19" i="13"/>
  <c r="L7" i="13"/>
  <c r="L48" i="13"/>
  <c r="L143" i="13"/>
  <c r="L47" i="13"/>
  <c r="L94" i="13"/>
  <c r="L225" i="13"/>
  <c r="L81" i="13"/>
  <c r="L43" i="13"/>
  <c r="L118" i="13"/>
  <c r="L153" i="13"/>
  <c r="L33" i="13"/>
  <c r="L258" i="13"/>
  <c r="L246" i="13"/>
  <c r="L234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55" i="13"/>
  <c r="L219" i="13"/>
  <c r="L183" i="13"/>
  <c r="L159" i="13"/>
  <c r="L135" i="13"/>
  <c r="L99" i="13"/>
  <c r="L63" i="13"/>
  <c r="L27" i="13"/>
  <c r="L254" i="13"/>
  <c r="L218" i="13"/>
  <c r="L182" i="13"/>
  <c r="L158" i="13"/>
  <c r="L134" i="13"/>
  <c r="L98" i="13"/>
  <c r="L62" i="13"/>
  <c r="L38" i="13"/>
  <c r="L14" i="13"/>
  <c r="L181" i="13"/>
  <c r="L145" i="13"/>
  <c r="L97" i="13"/>
  <c r="L73" i="13"/>
  <c r="L25" i="13"/>
  <c r="L120" i="13"/>
  <c r="L72" i="13"/>
  <c r="L12" i="13"/>
  <c r="L83" i="13"/>
  <c r="L130" i="13"/>
  <c r="L22" i="13"/>
  <c r="L177" i="13"/>
  <c r="L105" i="13"/>
  <c r="L21" i="13"/>
  <c r="L257" i="13"/>
  <c r="L245" i="13"/>
  <c r="L233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43" i="13"/>
  <c r="L207" i="13"/>
  <c r="L171" i="13"/>
  <c r="L123" i="13"/>
  <c r="L87" i="13"/>
  <c r="L51" i="13"/>
  <c r="L15" i="13"/>
  <c r="L230" i="13"/>
  <c r="L194" i="13"/>
  <c r="L146" i="13"/>
  <c r="L110" i="13"/>
  <c r="L74" i="13"/>
  <c r="L26" i="13"/>
  <c r="L217" i="13"/>
  <c r="L157" i="13"/>
  <c r="L109" i="13"/>
  <c r="L49" i="13"/>
  <c r="L13" i="13"/>
  <c r="L108" i="13"/>
  <c r="L36" i="13"/>
  <c r="L119" i="13"/>
  <c r="L59" i="13"/>
  <c r="L106" i="13"/>
  <c r="L10" i="13"/>
  <c r="L129" i="13"/>
  <c r="L45" i="13"/>
  <c r="L256" i="13"/>
  <c r="L244" i="13"/>
  <c r="L232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31" i="13"/>
  <c r="L195" i="13"/>
  <c r="L147" i="13"/>
  <c r="L111" i="13"/>
  <c r="L75" i="13"/>
  <c r="L39" i="13"/>
  <c r="L242" i="13"/>
  <c r="L206" i="13"/>
  <c r="L170" i="13"/>
  <c r="L122" i="13"/>
  <c r="L86" i="13"/>
  <c r="L50" i="13"/>
  <c r="L205" i="13"/>
  <c r="L133" i="13"/>
  <c r="L85" i="13"/>
  <c r="L37" i="13"/>
  <c r="L156" i="13"/>
  <c r="L96" i="13"/>
  <c r="L24" i="13"/>
  <c r="L95" i="13"/>
  <c r="L11" i="13"/>
  <c r="L58" i="13"/>
  <c r="L201" i="13"/>
  <c r="L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E208" i="13"/>
  <c r="E196" i="13"/>
  <c r="E184" i="13"/>
  <c r="E172" i="13"/>
  <c r="E160" i="13"/>
  <c r="E148" i="13"/>
  <c r="E136" i="13"/>
  <c r="E124" i="13"/>
  <c r="E112" i="13"/>
  <c r="E100" i="13"/>
  <c r="E88" i="13"/>
  <c r="E76" i="13"/>
  <c r="E64" i="13"/>
  <c r="E52" i="13"/>
  <c r="E40" i="13"/>
  <c r="E28" i="13"/>
  <c r="E16" i="13"/>
  <c r="E4" i="13"/>
  <c r="E250" i="13"/>
  <c r="E238" i="13"/>
  <c r="E226" i="13"/>
  <c r="G261" i="13"/>
  <c r="U261" i="13"/>
  <c r="AG261" i="13"/>
  <c r="BQ261" i="13"/>
  <c r="AT232" i="13"/>
  <c r="E203" i="13"/>
  <c r="E119" i="13"/>
  <c r="E59" i="13"/>
  <c r="E245" i="13"/>
  <c r="AL261" i="13"/>
  <c r="F261" i="13"/>
  <c r="AT260" i="13"/>
  <c r="AT248" i="13"/>
  <c r="AT236" i="13"/>
  <c r="AT224" i="13"/>
  <c r="AT212" i="13"/>
  <c r="AT200" i="13"/>
  <c r="E207" i="13"/>
  <c r="E195" i="13"/>
  <c r="E183" i="13"/>
  <c r="E171" i="13"/>
  <c r="E159" i="13"/>
  <c r="E147" i="13"/>
  <c r="E135" i="13"/>
  <c r="E123" i="13"/>
  <c r="E111" i="13"/>
  <c r="E99" i="13"/>
  <c r="E87" i="13"/>
  <c r="E75" i="13"/>
  <c r="E63" i="13"/>
  <c r="E51" i="13"/>
  <c r="E39" i="13"/>
  <c r="E27" i="13"/>
  <c r="E15" i="13"/>
  <c r="E261" i="13"/>
  <c r="E249" i="13"/>
  <c r="E237" i="13"/>
  <c r="E225" i="13"/>
  <c r="N261" i="13"/>
  <c r="X261" i="13"/>
  <c r="AH261" i="13"/>
  <c r="BA261" i="13"/>
  <c r="BR261" i="13"/>
  <c r="AT220" i="13"/>
  <c r="E167" i="13"/>
  <c r="E107" i="13"/>
  <c r="E47" i="13"/>
  <c r="E257" i="13"/>
  <c r="J261" i="13"/>
  <c r="AT259" i="13"/>
  <c r="AT247" i="13"/>
  <c r="AT235" i="13"/>
  <c r="AT223" i="13"/>
  <c r="AT211" i="13"/>
  <c r="AT199" i="13"/>
  <c r="E206" i="13"/>
  <c r="E194" i="13"/>
  <c r="E182" i="13"/>
  <c r="E170" i="13"/>
  <c r="E158" i="13"/>
  <c r="E146" i="13"/>
  <c r="E134" i="13"/>
  <c r="E122" i="13"/>
  <c r="E110" i="13"/>
  <c r="E98" i="13"/>
  <c r="E86" i="13"/>
  <c r="E74" i="13"/>
  <c r="E62" i="13"/>
  <c r="E50" i="13"/>
  <c r="E38" i="13"/>
  <c r="E26" i="13"/>
  <c r="E14" i="13"/>
  <c r="E260" i="13"/>
  <c r="E248" i="13"/>
  <c r="E236" i="13"/>
  <c r="E224" i="13"/>
  <c r="M261" i="13"/>
  <c r="Y261" i="13"/>
  <c r="AI261" i="13"/>
  <c r="BB261" i="13"/>
  <c r="BS261" i="13"/>
  <c r="AT244" i="13"/>
  <c r="E155" i="13"/>
  <c r="E95" i="13"/>
  <c r="E35" i="13"/>
  <c r="E233" i="13"/>
  <c r="BE261" i="13"/>
  <c r="T261" i="13"/>
  <c r="AT258" i="13"/>
  <c r="AT246" i="13"/>
  <c r="AT234" i="13"/>
  <c r="AT222" i="13"/>
  <c r="AT210" i="13"/>
  <c r="E217" i="13"/>
  <c r="E205" i="13"/>
  <c r="E193" i="13"/>
  <c r="E181" i="13"/>
  <c r="E169" i="13"/>
  <c r="E157" i="13"/>
  <c r="E145" i="13"/>
  <c r="E133" i="13"/>
  <c r="E121" i="13"/>
  <c r="E109" i="13"/>
  <c r="E97" i="13"/>
  <c r="E85" i="13"/>
  <c r="E73" i="13"/>
  <c r="E61" i="13"/>
  <c r="E49" i="13"/>
  <c r="E37" i="13"/>
  <c r="E25" i="13"/>
  <c r="E13" i="13"/>
  <c r="E259" i="13"/>
  <c r="E247" i="13"/>
  <c r="E235" i="13"/>
  <c r="E223" i="13"/>
  <c r="H261" i="13"/>
  <c r="Z261" i="13"/>
  <c r="AJ261" i="13"/>
  <c r="BC261" i="13"/>
  <c r="BT261" i="13"/>
  <c r="AT208" i="13"/>
  <c r="E191" i="13"/>
  <c r="E131" i="13"/>
  <c r="E71" i="13"/>
  <c r="E23" i="13"/>
  <c r="E221" i="13"/>
  <c r="AT257" i="13"/>
  <c r="AT245" i="13"/>
  <c r="AT233" i="13"/>
  <c r="AT221" i="13"/>
  <c r="AT209" i="13"/>
  <c r="E216" i="13"/>
  <c r="E204" i="13"/>
  <c r="E192" i="13"/>
  <c r="E180" i="13"/>
  <c r="E168" i="13"/>
  <c r="E156" i="13"/>
  <c r="E144" i="13"/>
  <c r="E132" i="13"/>
  <c r="E120" i="13"/>
  <c r="E108" i="13"/>
  <c r="E96" i="13"/>
  <c r="E84" i="13"/>
  <c r="E72" i="13"/>
  <c r="E60" i="13"/>
  <c r="E48" i="13"/>
  <c r="E36" i="13"/>
  <c r="E24" i="13"/>
  <c r="E12" i="13"/>
  <c r="E258" i="13"/>
  <c r="E246" i="13"/>
  <c r="E234" i="13"/>
  <c r="E222" i="13"/>
  <c r="AA261" i="13"/>
  <c r="AK261" i="13"/>
  <c r="BD261" i="13"/>
  <c r="BU261" i="13"/>
  <c r="AT256" i="13"/>
  <c r="E215" i="13"/>
  <c r="E179" i="13"/>
  <c r="E143" i="13"/>
  <c r="E83" i="13"/>
  <c r="E11" i="13"/>
  <c r="AB261" i="13"/>
  <c r="AY261" i="13"/>
  <c r="AT255" i="13"/>
  <c r="AT243" i="13"/>
  <c r="AT231" i="13"/>
  <c r="AT219" i="13"/>
  <c r="AT207" i="13"/>
  <c r="E214" i="13"/>
  <c r="E202" i="13"/>
  <c r="E190" i="13"/>
  <c r="E178" i="13"/>
  <c r="E166" i="13"/>
  <c r="E154" i="13"/>
  <c r="E142" i="13"/>
  <c r="E130" i="13"/>
  <c r="E118" i="13"/>
  <c r="E106" i="13"/>
  <c r="E94" i="13"/>
  <c r="E82" i="13"/>
  <c r="E70" i="13"/>
  <c r="E58" i="13"/>
  <c r="E46" i="13"/>
  <c r="E34" i="13"/>
  <c r="E22" i="13"/>
  <c r="E10" i="13"/>
  <c r="E256" i="13"/>
  <c r="E244" i="13"/>
  <c r="E232" i="13"/>
  <c r="E220" i="13"/>
  <c r="O261" i="13"/>
  <c r="V261" i="13"/>
  <c r="AM261" i="13"/>
  <c r="BF261" i="13"/>
  <c r="AT202" i="13"/>
  <c r="E209" i="13"/>
  <c r="E161" i="13"/>
  <c r="E101" i="13"/>
  <c r="E41" i="13"/>
  <c r="E239" i="13"/>
  <c r="AT254" i="13"/>
  <c r="AT242" i="13"/>
  <c r="AT230" i="13"/>
  <c r="AT218" i="13"/>
  <c r="AT206" i="13"/>
  <c r="E213" i="13"/>
  <c r="E201" i="13"/>
  <c r="E189" i="13"/>
  <c r="E177" i="13"/>
  <c r="E165" i="13"/>
  <c r="E153" i="13"/>
  <c r="E141" i="13"/>
  <c r="E129" i="13"/>
  <c r="E117" i="13"/>
  <c r="E105" i="13"/>
  <c r="E93" i="13"/>
  <c r="E81" i="13"/>
  <c r="E69" i="13"/>
  <c r="E57" i="13"/>
  <c r="E45" i="13"/>
  <c r="E33" i="13"/>
  <c r="E21" i="13"/>
  <c r="E9" i="13"/>
  <c r="E255" i="13"/>
  <c r="E243" i="13"/>
  <c r="E231" i="13"/>
  <c r="E219" i="13"/>
  <c r="P261" i="13"/>
  <c r="AC261" i="13"/>
  <c r="AS261" i="13"/>
  <c r="BG261" i="13"/>
  <c r="AT226" i="13"/>
  <c r="E173" i="13"/>
  <c r="E113" i="13"/>
  <c r="E53" i="13"/>
  <c r="E251" i="13"/>
  <c r="AT253" i="13"/>
  <c r="AT241" i="13"/>
  <c r="AT229" i="13"/>
  <c r="AT217" i="13"/>
  <c r="AT205" i="13"/>
  <c r="E212" i="13"/>
  <c r="E200" i="13"/>
  <c r="E188" i="13"/>
  <c r="E176" i="13"/>
  <c r="E164" i="13"/>
  <c r="E152" i="13"/>
  <c r="E140" i="13"/>
  <c r="E128" i="13"/>
  <c r="E116" i="13"/>
  <c r="E104" i="13"/>
  <c r="E92" i="13"/>
  <c r="E80" i="13"/>
  <c r="E68" i="13"/>
  <c r="E56" i="13"/>
  <c r="E44" i="13"/>
  <c r="E32" i="13"/>
  <c r="E20" i="13"/>
  <c r="E8" i="13"/>
  <c r="E254" i="13"/>
  <c r="E242" i="13"/>
  <c r="E230" i="13"/>
  <c r="E218" i="13"/>
  <c r="Q261" i="13"/>
  <c r="AV261" i="13"/>
  <c r="BH261" i="13"/>
  <c r="AT250" i="13"/>
  <c r="E149" i="13"/>
  <c r="E89" i="13"/>
  <c r="E29" i="13"/>
  <c r="BP261" i="13"/>
  <c r="AT252" i="13"/>
  <c r="AT240" i="13"/>
  <c r="AT228" i="13"/>
  <c r="AT216" i="13"/>
  <c r="AT204" i="13"/>
  <c r="E211" i="13"/>
  <c r="E199" i="13"/>
  <c r="E187" i="13"/>
  <c r="E175" i="13"/>
  <c r="E163" i="13"/>
  <c r="E151" i="13"/>
  <c r="E139" i="13"/>
  <c r="E127" i="13"/>
  <c r="E115" i="13"/>
  <c r="E103" i="13"/>
  <c r="E91" i="13"/>
  <c r="E79" i="13"/>
  <c r="E67" i="13"/>
  <c r="E55" i="13"/>
  <c r="E43" i="13"/>
  <c r="E31" i="13"/>
  <c r="E19" i="13"/>
  <c r="E7" i="13"/>
  <c r="E253" i="13"/>
  <c r="E241" i="13"/>
  <c r="E229" i="13"/>
  <c r="R261" i="13"/>
  <c r="AD261" i="13"/>
  <c r="AW261" i="13"/>
  <c r="BN261" i="13"/>
  <c r="AX261" i="13"/>
  <c r="AT238" i="13"/>
  <c r="E197" i="13"/>
  <c r="E137" i="13"/>
  <c r="E77" i="13"/>
  <c r="E5" i="13"/>
  <c r="AF261" i="13"/>
  <c r="AT251" i="13"/>
  <c r="AT239" i="13"/>
  <c r="AT227" i="13"/>
  <c r="AT215" i="13"/>
  <c r="AT203" i="13"/>
  <c r="E210" i="13"/>
  <c r="E198" i="13"/>
  <c r="E186" i="13"/>
  <c r="E174" i="13"/>
  <c r="E162" i="13"/>
  <c r="E150" i="13"/>
  <c r="E138" i="13"/>
  <c r="E126" i="13"/>
  <c r="E114" i="13"/>
  <c r="E102" i="13"/>
  <c r="E90" i="13"/>
  <c r="E78" i="13"/>
  <c r="E66" i="13"/>
  <c r="E54" i="13"/>
  <c r="E42" i="13"/>
  <c r="E30" i="13"/>
  <c r="E18" i="13"/>
  <c r="E6" i="13"/>
  <c r="E252" i="13"/>
  <c r="E240" i="13"/>
  <c r="E228" i="13"/>
  <c r="D261" i="13"/>
  <c r="S261" i="13"/>
  <c r="AE261" i="13"/>
  <c r="BO261" i="13"/>
  <c r="AT214" i="13"/>
  <c r="E185" i="13"/>
  <c r="E125" i="13"/>
  <c r="E65" i="13"/>
  <c r="E17" i="13"/>
  <c r="E227" i="13"/>
  <c r="N3024" i="11"/>
  <c r="BN257" i="13"/>
  <c r="BN245" i="13"/>
  <c r="BN233" i="13"/>
  <c r="BN221" i="13"/>
  <c r="BN209" i="13"/>
  <c r="X260" i="13"/>
  <c r="AB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J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D260" i="13"/>
  <c r="P260" i="13"/>
  <c r="AX260" i="13"/>
  <c r="BO260" i="13"/>
  <c r="BS241" i="13"/>
  <c r="BS229" i="13"/>
  <c r="BN251" i="13"/>
  <c r="BN239" i="13"/>
  <c r="BN215" i="13"/>
  <c r="F260" i="13"/>
  <c r="Q260" i="13"/>
  <c r="AY260" i="13"/>
  <c r="BS252" i="13"/>
  <c r="BS240" i="13"/>
  <c r="BS216" i="13"/>
  <c r="BN238" i="13"/>
  <c r="BN214" i="13"/>
  <c r="Z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AA260" i="13"/>
  <c r="T260" i="13"/>
  <c r="BB260" i="13"/>
  <c r="BS249" i="13"/>
  <c r="BS225" i="13"/>
  <c r="BS213" i="13"/>
  <c r="BN247" i="13"/>
  <c r="BN223" i="13"/>
  <c r="BN211" i="13"/>
  <c r="N260" i="13"/>
  <c r="BN256" i="13"/>
  <c r="BN244" i="13"/>
  <c r="BN232" i="13"/>
  <c r="BN220" i="13"/>
  <c r="BN208" i="13"/>
  <c r="H260" i="13"/>
  <c r="V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G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M260" i="13"/>
  <c r="BS236" i="13"/>
  <c r="BS235" i="13"/>
  <c r="Y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D259" i="13"/>
  <c r="Q259" i="13"/>
  <c r="AE259" i="13"/>
  <c r="AX259" i="13"/>
  <c r="BO259" i="13"/>
  <c r="F259" i="13"/>
  <c r="R259" i="13"/>
  <c r="AF259" i="13"/>
  <c r="AY259" i="13"/>
  <c r="BQ259" i="13"/>
  <c r="Z259" i="13"/>
  <c r="S259" i="13"/>
  <c r="AG259" i="13"/>
  <c r="BP259" i="13"/>
  <c r="G259" i="13"/>
  <c r="T259" i="13"/>
  <c r="AH259" i="13"/>
  <c r="BA259" i="13"/>
  <c r="BT259" i="13"/>
  <c r="AA259" i="13"/>
  <c r="U259" i="13"/>
  <c r="AI259" i="13"/>
  <c r="BB259" i="13"/>
  <c r="BU259" i="13"/>
  <c r="N259" i="13"/>
  <c r="Y259" i="13"/>
  <c r="AJ259" i="13"/>
  <c r="BC259" i="13"/>
  <c r="M259" i="13"/>
  <c r="H259" i="13"/>
  <c r="AK259" i="13"/>
  <c r="BD259" i="13"/>
  <c r="X259" i="13"/>
  <c r="AB259" i="13"/>
  <c r="AL259" i="13"/>
  <c r="BE259" i="13"/>
  <c r="V259" i="13"/>
  <c r="AM259" i="13"/>
  <c r="BF259" i="13"/>
  <c r="J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Z258" i="13"/>
  <c r="P258" i="13"/>
  <c r="AD258" i="13"/>
  <c r="AV258" i="13"/>
  <c r="BH258" i="13"/>
  <c r="R258" i="13"/>
  <c r="S258" i="13"/>
  <c r="D258" i="13"/>
  <c r="Q258" i="13"/>
  <c r="AE258" i="13"/>
  <c r="AW258" i="13"/>
  <c r="F258" i="13"/>
  <c r="AF258" i="13"/>
  <c r="BO258" i="13"/>
  <c r="G258" i="13"/>
  <c r="T258" i="13"/>
  <c r="AH258" i="13"/>
  <c r="BQ258" i="13"/>
  <c r="J258" i="13"/>
  <c r="AA258" i="13"/>
  <c r="U258" i="13"/>
  <c r="AI258" i="13"/>
  <c r="BA258" i="13"/>
  <c r="BP258" i="13"/>
  <c r="AM258" i="13"/>
  <c r="AY258" i="13"/>
  <c r="N258" i="13"/>
  <c r="Y258" i="13"/>
  <c r="AJ258" i="13"/>
  <c r="BB258" i="13"/>
  <c r="BT258" i="13"/>
  <c r="BF258" i="13"/>
  <c r="M258" i="13"/>
  <c r="H258" i="13"/>
  <c r="AK258" i="13"/>
  <c r="BC258" i="13"/>
  <c r="BU258" i="13"/>
  <c r="V258" i="13"/>
  <c r="AC258" i="13"/>
  <c r="AG258" i="13"/>
  <c r="X258" i="13"/>
  <c r="AB258" i="13"/>
  <c r="AL258" i="13"/>
  <c r="BD258" i="13"/>
  <c r="BE258" i="13"/>
  <c r="O257" i="13"/>
  <c r="AS257" i="13"/>
  <c r="BG257" i="13"/>
  <c r="F256" i="13"/>
  <c r="R256" i="13"/>
  <c r="AF256" i="13"/>
  <c r="AX256" i="13"/>
  <c r="BR256" i="13"/>
  <c r="AE257" i="13"/>
  <c r="G256" i="13"/>
  <c r="AH256" i="13"/>
  <c r="AX257" i="13"/>
  <c r="BP256" i="13"/>
  <c r="N256" i="13"/>
  <c r="T257" i="13"/>
  <c r="BC256" i="13"/>
  <c r="AL256" i="13"/>
  <c r="K257" i="13"/>
  <c r="P257" i="13"/>
  <c r="AD257" i="13"/>
  <c r="AV257" i="13"/>
  <c r="BH257" i="13"/>
  <c r="Z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Y256" i="13"/>
  <c r="D257" i="13"/>
  <c r="AA256" i="13"/>
  <c r="AY257" i="13"/>
  <c r="AJ256" i="13"/>
  <c r="AH257" i="13"/>
  <c r="H256" i="13"/>
  <c r="F257" i="13"/>
  <c r="Z257" i="13"/>
  <c r="BO257" i="13"/>
  <c r="AK256" i="13"/>
  <c r="X256" i="13"/>
  <c r="G257" i="13"/>
  <c r="AA257" i="13"/>
  <c r="U257" i="13"/>
  <c r="AI257" i="13"/>
  <c r="BA257" i="13"/>
  <c r="BD256" i="13"/>
  <c r="N257" i="13"/>
  <c r="Y257" i="13"/>
  <c r="AJ257" i="13"/>
  <c r="BB257" i="13"/>
  <c r="BT257" i="13"/>
  <c r="V256" i="13"/>
  <c r="AM256" i="13"/>
  <c r="BE256" i="13"/>
  <c r="M257" i="13"/>
  <c r="H257" i="13"/>
  <c r="AK257" i="13"/>
  <c r="BC257" i="13"/>
  <c r="BU257" i="13"/>
  <c r="J256" i="13"/>
  <c r="AC256" i="13"/>
  <c r="BF256" i="13"/>
  <c r="X257" i="13"/>
  <c r="AB257" i="13"/>
  <c r="AL257" i="13"/>
  <c r="BD257" i="13"/>
  <c r="O256" i="13"/>
  <c r="AS256" i="13"/>
  <c r="BG256" i="13"/>
  <c r="V257" i="13"/>
  <c r="AM257" i="13"/>
  <c r="BE257" i="13"/>
  <c r="K256" i="13"/>
  <c r="P256" i="13"/>
  <c r="AD256" i="13"/>
  <c r="AV256" i="13"/>
  <c r="BH256" i="13"/>
  <c r="AC257" i="13"/>
  <c r="BF257" i="13"/>
  <c r="D256" i="13"/>
  <c r="Q256" i="13"/>
  <c r="AE256" i="13"/>
  <c r="AW256" i="13"/>
  <c r="U256" i="13"/>
  <c r="BT256" i="13"/>
  <c r="M256" i="13"/>
  <c r="BP257" i="13"/>
  <c r="J257" i="13"/>
  <c r="AI256" i="13"/>
  <c r="S257" i="13"/>
  <c r="BB256" i="13"/>
  <c r="BQ257" i="13"/>
  <c r="BU256" i="13"/>
  <c r="AB256" i="13"/>
  <c r="O255" i="13"/>
  <c r="AS255" i="13"/>
  <c r="BG255" i="13"/>
  <c r="AD255" i="13"/>
  <c r="AK255" i="13"/>
  <c r="K255" i="13"/>
  <c r="D255" i="13"/>
  <c r="F255" i="13"/>
  <c r="R255" i="13"/>
  <c r="AF255" i="13"/>
  <c r="AX255" i="13"/>
  <c r="BR255" i="13"/>
  <c r="S255" i="13"/>
  <c r="AG255" i="13"/>
  <c r="AY255" i="13"/>
  <c r="BO255" i="13"/>
  <c r="Y255" i="13"/>
  <c r="BB255" i="13"/>
  <c r="BU255" i="13"/>
  <c r="Z255" i="13"/>
  <c r="G255" i="13"/>
  <c r="T255" i="13"/>
  <c r="AH255" i="13"/>
  <c r="BQ255" i="13"/>
  <c r="U255" i="13"/>
  <c r="AI255" i="13"/>
  <c r="BA255" i="13"/>
  <c r="BP255" i="13"/>
  <c r="AA255" i="13"/>
  <c r="N255" i="13"/>
  <c r="M255" i="13"/>
  <c r="H255" i="13"/>
  <c r="X255" i="13"/>
  <c r="AB255" i="13"/>
  <c r="AL255" i="13"/>
  <c r="BD255" i="13"/>
  <c r="AM255" i="13"/>
  <c r="BE255" i="13"/>
  <c r="AE255" i="13"/>
  <c r="AJ255" i="13"/>
  <c r="V255" i="13"/>
  <c r="BH255" i="13"/>
  <c r="J255" i="13"/>
  <c r="AC255" i="13"/>
  <c r="BF255" i="13"/>
  <c r="P255" i="13"/>
  <c r="AV255" i="13"/>
  <c r="Q255" i="13"/>
  <c r="AW255" i="13"/>
  <c r="BT255" i="13"/>
  <c r="BC255" i="13"/>
  <c r="K254" i="13"/>
  <c r="P254" i="13"/>
  <c r="AD254" i="13"/>
  <c r="AW254" i="13"/>
  <c r="BR254" i="13"/>
  <c r="D254" i="13"/>
  <c r="Q254" i="13"/>
  <c r="AE254" i="13"/>
  <c r="AX254" i="13"/>
  <c r="BO254" i="13"/>
  <c r="F254" i="13"/>
  <c r="R254" i="13"/>
  <c r="AF254" i="13"/>
  <c r="AY254" i="13"/>
  <c r="BQ254" i="13"/>
  <c r="Z254" i="13"/>
  <c r="S254" i="13"/>
  <c r="AG254" i="13"/>
  <c r="BP254" i="13"/>
  <c r="G254" i="13"/>
  <c r="T254" i="13"/>
  <c r="AH254" i="13"/>
  <c r="BA254" i="13"/>
  <c r="BT254" i="13"/>
  <c r="AA254" i="13"/>
  <c r="U254" i="13"/>
  <c r="AI254" i="13"/>
  <c r="BB254" i="13"/>
  <c r="BU254" i="13"/>
  <c r="N254" i="13"/>
  <c r="Y254" i="13"/>
  <c r="AJ254" i="13"/>
  <c r="BC254" i="13"/>
  <c r="M254" i="13"/>
  <c r="H254" i="13"/>
  <c r="AK254" i="13"/>
  <c r="BD254" i="13"/>
  <c r="X254" i="13"/>
  <c r="AB254" i="13"/>
  <c r="AL254" i="13"/>
  <c r="BE254" i="13"/>
  <c r="V254" i="13"/>
  <c r="AM254" i="13"/>
  <c r="BF254" i="13"/>
  <c r="J254" i="13"/>
  <c r="AC254" i="13"/>
  <c r="AS254" i="13"/>
  <c r="BG254" i="13"/>
  <c r="O254" i="13"/>
  <c r="AV254" i="13"/>
  <c r="BH254" i="13"/>
  <c r="O253" i="13"/>
  <c r="AS253" i="13"/>
  <c r="BG253" i="13"/>
  <c r="AX253" i="13"/>
  <c r="K253" i="13"/>
  <c r="P253" i="13"/>
  <c r="AD253" i="13"/>
  <c r="AV253" i="13"/>
  <c r="BH253" i="13"/>
  <c r="AF253" i="13"/>
  <c r="BR253" i="13"/>
  <c r="D253" i="13"/>
  <c r="Q253" i="13"/>
  <c r="AE253" i="13"/>
  <c r="AW253" i="13"/>
  <c r="R253" i="13"/>
  <c r="F253" i="13"/>
  <c r="Z253" i="13"/>
  <c r="S253" i="13"/>
  <c r="AG253" i="13"/>
  <c r="AY253" i="13"/>
  <c r="BO253" i="13"/>
  <c r="G253" i="13"/>
  <c r="T253" i="13"/>
  <c r="AH253" i="13"/>
  <c r="BQ253" i="13"/>
  <c r="AA253" i="13"/>
  <c r="U253" i="13"/>
  <c r="AI253" i="13"/>
  <c r="BA253" i="13"/>
  <c r="BP253" i="13"/>
  <c r="N253" i="13"/>
  <c r="Y253" i="13"/>
  <c r="AJ253" i="13"/>
  <c r="BB253" i="13"/>
  <c r="BT253" i="13"/>
  <c r="AM253" i="13"/>
  <c r="AC253" i="13"/>
  <c r="M253" i="13"/>
  <c r="H253" i="13"/>
  <c r="AK253" i="13"/>
  <c r="BC253" i="13"/>
  <c r="BU253" i="13"/>
  <c r="V253" i="13"/>
  <c r="BF253" i="13"/>
  <c r="X253" i="13"/>
  <c r="AB253" i="13"/>
  <c r="AL253" i="13"/>
  <c r="BD253" i="13"/>
  <c r="BE253" i="13"/>
  <c r="J253" i="13"/>
  <c r="K252" i="13"/>
  <c r="P252" i="13"/>
  <c r="AD252" i="13"/>
  <c r="AV252" i="13"/>
  <c r="BH252" i="13"/>
  <c r="Q252" i="13"/>
  <c r="AW252" i="13"/>
  <c r="D252" i="13"/>
  <c r="AE252" i="13"/>
  <c r="F252" i="13"/>
  <c r="R252" i="13"/>
  <c r="AF252" i="13"/>
  <c r="AX252" i="13"/>
  <c r="BR252" i="13"/>
  <c r="AH252" i="13"/>
  <c r="Z252" i="13"/>
  <c r="S252" i="13"/>
  <c r="AG252" i="13"/>
  <c r="AY252" i="13"/>
  <c r="BO252" i="13"/>
  <c r="T252" i="13"/>
  <c r="G252" i="13"/>
  <c r="BQ252" i="13"/>
  <c r="AA252" i="13"/>
  <c r="U252" i="13"/>
  <c r="AI252" i="13"/>
  <c r="BA252" i="13"/>
  <c r="BP252" i="13"/>
  <c r="AL252" i="13"/>
  <c r="N252" i="13"/>
  <c r="Y252" i="13"/>
  <c r="AJ252" i="13"/>
  <c r="BB252" i="13"/>
  <c r="BT252" i="13"/>
  <c r="BD252" i="13"/>
  <c r="M252" i="13"/>
  <c r="H252" i="13"/>
  <c r="AK252" i="13"/>
  <c r="BC252" i="13"/>
  <c r="BU252" i="13"/>
  <c r="X252" i="13"/>
  <c r="AB252" i="13"/>
  <c r="V252" i="13"/>
  <c r="AM252" i="13"/>
  <c r="BE252" i="13"/>
  <c r="BG252" i="13"/>
  <c r="J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K251" i="13"/>
  <c r="AD251" i="13"/>
  <c r="BH251" i="13"/>
  <c r="AF251" i="13"/>
  <c r="BR251" i="13"/>
  <c r="D251" i="13"/>
  <c r="Q251" i="13"/>
  <c r="AE251" i="13"/>
  <c r="AW251" i="13"/>
  <c r="F251" i="13"/>
  <c r="Z251" i="13"/>
  <c r="S251" i="13"/>
  <c r="AG251" i="13"/>
  <c r="AY251" i="13"/>
  <c r="BO251" i="13"/>
  <c r="G251" i="13"/>
  <c r="AH251" i="13"/>
  <c r="BQ251" i="13"/>
  <c r="BE251" i="13"/>
  <c r="T251" i="13"/>
  <c r="BF251" i="13"/>
  <c r="AA251" i="13"/>
  <c r="U251" i="13"/>
  <c r="AI251" i="13"/>
  <c r="BA251" i="13"/>
  <c r="BP251" i="13"/>
  <c r="Y251" i="13"/>
  <c r="AJ251" i="13"/>
  <c r="BB251" i="13"/>
  <c r="BT251" i="13"/>
  <c r="AC251" i="13"/>
  <c r="N251" i="13"/>
  <c r="M251" i="13"/>
  <c r="H251" i="13"/>
  <c r="AK251" i="13"/>
  <c r="BC251" i="13"/>
  <c r="BU251" i="13"/>
  <c r="X251" i="13"/>
  <c r="AL251" i="13"/>
  <c r="BD251" i="13"/>
  <c r="AM251" i="13"/>
  <c r="AB251" i="13"/>
  <c r="V251" i="13"/>
  <c r="J251" i="13"/>
  <c r="O250" i="13"/>
  <c r="K250" i="13"/>
  <c r="D250" i="13"/>
  <c r="F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Y250" i="13"/>
  <c r="AJ250" i="13"/>
  <c r="BB250" i="13"/>
  <c r="BT250" i="13"/>
  <c r="H250" i="13"/>
  <c r="AK250" i="13"/>
  <c r="BC250" i="13"/>
  <c r="BU250" i="13"/>
  <c r="Z250" i="13"/>
  <c r="G250" i="13"/>
  <c r="AA250" i="13"/>
  <c r="N250" i="13"/>
  <c r="M250" i="13"/>
  <c r="X250" i="13"/>
  <c r="V250" i="13"/>
  <c r="AM250" i="13"/>
  <c r="BE250" i="13"/>
  <c r="J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B250" i="13"/>
  <c r="AL250" i="13"/>
  <c r="BD250" i="13"/>
  <c r="M249" i="13"/>
  <c r="M237" i="13"/>
  <c r="M225" i="13"/>
  <c r="M213" i="13"/>
  <c r="M201" i="13"/>
  <c r="M189" i="13"/>
  <c r="M177" i="13"/>
  <c r="M165" i="13"/>
  <c r="M153" i="13"/>
  <c r="M141" i="13"/>
  <c r="M129" i="13"/>
  <c r="M117" i="13"/>
  <c r="M105" i="13"/>
  <c r="M93" i="13"/>
  <c r="M81" i="13"/>
  <c r="M69" i="13"/>
  <c r="M57" i="13"/>
  <c r="M45" i="13"/>
  <c r="M33" i="13"/>
  <c r="M21" i="13"/>
  <c r="M9" i="13"/>
  <c r="N249" i="13"/>
  <c r="H249" i="13"/>
  <c r="AK249" i="13"/>
  <c r="AY249" i="13"/>
  <c r="M163" i="13"/>
  <c r="M115" i="13"/>
  <c r="M79" i="13"/>
  <c r="M31" i="13"/>
  <c r="Q249" i="13"/>
  <c r="BF249" i="13"/>
  <c r="M30" i="13"/>
  <c r="J249" i="13"/>
  <c r="M218" i="13"/>
  <c r="M182" i="13"/>
  <c r="M146" i="13"/>
  <c r="M122" i="13"/>
  <c r="M74" i="13"/>
  <c r="M14" i="13"/>
  <c r="BB249" i="13"/>
  <c r="M133" i="13"/>
  <c r="M73" i="13"/>
  <c r="M13" i="13"/>
  <c r="M248" i="13"/>
  <c r="M236" i="13"/>
  <c r="M224" i="13"/>
  <c r="M212" i="13"/>
  <c r="M200" i="13"/>
  <c r="M188" i="13"/>
  <c r="M176" i="13"/>
  <c r="M164" i="13"/>
  <c r="M152" i="13"/>
  <c r="M140" i="13"/>
  <c r="M128" i="13"/>
  <c r="M116" i="13"/>
  <c r="M104" i="13"/>
  <c r="M92" i="13"/>
  <c r="M80" i="13"/>
  <c r="M68" i="13"/>
  <c r="M56" i="13"/>
  <c r="M44" i="13"/>
  <c r="M32" i="13"/>
  <c r="M20" i="13"/>
  <c r="M8" i="13"/>
  <c r="R249" i="13"/>
  <c r="AB249" i="13"/>
  <c r="AL249" i="13"/>
  <c r="BE249" i="13"/>
  <c r="M175" i="13"/>
  <c r="M103" i="13"/>
  <c r="M67" i="13"/>
  <c r="M43" i="13"/>
  <c r="M19" i="13"/>
  <c r="V249" i="13"/>
  <c r="M54" i="13"/>
  <c r="M6" i="13"/>
  <c r="BG249" i="13"/>
  <c r="M206" i="13"/>
  <c r="M98" i="13"/>
  <c r="M50" i="13"/>
  <c r="D249" i="13"/>
  <c r="M145" i="13"/>
  <c r="M61" i="13"/>
  <c r="AG249" i="13"/>
  <c r="M247" i="13"/>
  <c r="M235" i="13"/>
  <c r="M223" i="13"/>
  <c r="M211" i="13"/>
  <c r="M199" i="13"/>
  <c r="M187" i="13"/>
  <c r="M151" i="13"/>
  <c r="M139" i="13"/>
  <c r="M127" i="13"/>
  <c r="M91" i="13"/>
  <c r="M55" i="13"/>
  <c r="M7" i="13"/>
  <c r="AM249" i="13"/>
  <c r="AC249" i="13"/>
  <c r="M230" i="13"/>
  <c r="M170" i="13"/>
  <c r="M134" i="13"/>
  <c r="M86" i="13"/>
  <c r="M26" i="13"/>
  <c r="BO249" i="13"/>
  <c r="M169" i="13"/>
  <c r="M97" i="13"/>
  <c r="M37" i="13"/>
  <c r="BQ249" i="13"/>
  <c r="M246" i="13"/>
  <c r="M234" i="13"/>
  <c r="M222" i="13"/>
  <c r="M210" i="13"/>
  <c r="M198" i="13"/>
  <c r="M186" i="13"/>
  <c r="M174" i="13"/>
  <c r="M162" i="13"/>
  <c r="M150" i="13"/>
  <c r="M138" i="13"/>
  <c r="M126" i="13"/>
  <c r="M114" i="13"/>
  <c r="M102" i="13"/>
  <c r="M90" i="13"/>
  <c r="M78" i="13"/>
  <c r="M66" i="13"/>
  <c r="M42" i="13"/>
  <c r="M18" i="13"/>
  <c r="M194" i="13"/>
  <c r="M110" i="13"/>
  <c r="M38" i="13"/>
  <c r="P249" i="13"/>
  <c r="M157" i="13"/>
  <c r="M85" i="13"/>
  <c r="M25" i="13"/>
  <c r="AW249" i="13"/>
  <c r="M245" i="13"/>
  <c r="M233" i="13"/>
  <c r="M221" i="13"/>
  <c r="M209" i="13"/>
  <c r="M197" i="13"/>
  <c r="M185" i="13"/>
  <c r="M173" i="13"/>
  <c r="M161" i="13"/>
  <c r="M149" i="13"/>
  <c r="M137" i="13"/>
  <c r="M125" i="13"/>
  <c r="M113" i="13"/>
  <c r="M101" i="13"/>
  <c r="M89" i="13"/>
  <c r="M77" i="13"/>
  <c r="M65" i="13"/>
  <c r="M53" i="13"/>
  <c r="M41" i="13"/>
  <c r="M29" i="13"/>
  <c r="M17" i="13"/>
  <c r="M5" i="13"/>
  <c r="X249" i="13"/>
  <c r="AS249" i="13"/>
  <c r="BH249" i="13"/>
  <c r="M160" i="13"/>
  <c r="M136" i="13"/>
  <c r="M112" i="13"/>
  <c r="M88" i="13"/>
  <c r="M64" i="13"/>
  <c r="M40" i="13"/>
  <c r="M16" i="13"/>
  <c r="O249" i="13"/>
  <c r="BP249" i="13"/>
  <c r="M244" i="13"/>
  <c r="M232" i="13"/>
  <c r="M220" i="13"/>
  <c r="M208" i="13"/>
  <c r="M196" i="13"/>
  <c r="M184" i="13"/>
  <c r="M172" i="13"/>
  <c r="M148" i="13"/>
  <c r="M124" i="13"/>
  <c r="M100" i="13"/>
  <c r="M76" i="13"/>
  <c r="M52" i="13"/>
  <c r="M28" i="13"/>
  <c r="M4" i="13"/>
  <c r="AD249" i="13"/>
  <c r="AV249" i="13"/>
  <c r="M158" i="13"/>
  <c r="M62" i="13"/>
  <c r="AF249" i="13"/>
  <c r="M243" i="13"/>
  <c r="M231" i="13"/>
  <c r="M219" i="13"/>
  <c r="M207" i="13"/>
  <c r="M195" i="13"/>
  <c r="M183" i="13"/>
  <c r="M171" i="13"/>
  <c r="M159" i="13"/>
  <c r="M147" i="13"/>
  <c r="M135" i="13"/>
  <c r="M123" i="13"/>
  <c r="M111" i="13"/>
  <c r="M99" i="13"/>
  <c r="M87" i="13"/>
  <c r="M75" i="13"/>
  <c r="M63" i="13"/>
  <c r="M51" i="13"/>
  <c r="M39" i="13"/>
  <c r="M27" i="13"/>
  <c r="M15" i="13"/>
  <c r="K249" i="13"/>
  <c r="AE249" i="13"/>
  <c r="BA249" i="13"/>
  <c r="BR249" i="13"/>
  <c r="M242" i="13"/>
  <c r="M241" i="13"/>
  <c r="M229" i="13"/>
  <c r="M217" i="13"/>
  <c r="M205" i="13"/>
  <c r="M193" i="13"/>
  <c r="M181" i="13"/>
  <c r="M109" i="13"/>
  <c r="M49" i="13"/>
  <c r="S249" i="13"/>
  <c r="M240" i="13"/>
  <c r="M228" i="13"/>
  <c r="M216" i="13"/>
  <c r="M204" i="13"/>
  <c r="M192" i="13"/>
  <c r="M180" i="13"/>
  <c r="M168" i="13"/>
  <c r="M156" i="13"/>
  <c r="M144" i="13"/>
  <c r="M132" i="13"/>
  <c r="M120" i="13"/>
  <c r="M108" i="13"/>
  <c r="M96" i="13"/>
  <c r="M84" i="13"/>
  <c r="M72" i="13"/>
  <c r="M60" i="13"/>
  <c r="M48" i="13"/>
  <c r="M36" i="13"/>
  <c r="M24" i="13"/>
  <c r="M12" i="13"/>
  <c r="Z249" i="13"/>
  <c r="T249" i="13"/>
  <c r="AH249" i="13"/>
  <c r="BC249" i="13"/>
  <c r="BT249" i="13"/>
  <c r="M239" i="13"/>
  <c r="M227" i="13"/>
  <c r="M215" i="13"/>
  <c r="M203" i="13"/>
  <c r="M191" i="13"/>
  <c r="M179" i="13"/>
  <c r="M167" i="13"/>
  <c r="M155" i="13"/>
  <c r="M143" i="13"/>
  <c r="M131" i="13"/>
  <c r="M119" i="13"/>
  <c r="M107" i="13"/>
  <c r="M95" i="13"/>
  <c r="M83" i="13"/>
  <c r="M71" i="13"/>
  <c r="M59" i="13"/>
  <c r="M47" i="13"/>
  <c r="M35" i="13"/>
  <c r="M23" i="13"/>
  <c r="M11" i="13"/>
  <c r="G249" i="13"/>
  <c r="U249" i="13"/>
  <c r="AI249" i="13"/>
  <c r="BD249" i="13"/>
  <c r="BU249" i="13"/>
  <c r="M238" i="13"/>
  <c r="M226" i="13"/>
  <c r="M214" i="13"/>
  <c r="M202" i="13"/>
  <c r="M190" i="13"/>
  <c r="M178" i="13"/>
  <c r="M166" i="13"/>
  <c r="M154" i="13"/>
  <c r="M142" i="13"/>
  <c r="M130" i="13"/>
  <c r="M118" i="13"/>
  <c r="M106" i="13"/>
  <c r="M94" i="13"/>
  <c r="M82" i="13"/>
  <c r="M70" i="13"/>
  <c r="M58" i="13"/>
  <c r="M46" i="13"/>
  <c r="M34" i="13"/>
  <c r="M22" i="13"/>
  <c r="M10" i="13"/>
  <c r="AA249" i="13"/>
  <c r="Y249" i="13"/>
  <c r="AJ249" i="13"/>
  <c r="AX249" i="13"/>
  <c r="M121" i="13"/>
  <c r="F249" i="13"/>
  <c r="O248" i="13"/>
  <c r="AD248" i="13"/>
  <c r="K248" i="13"/>
  <c r="AE248" i="13"/>
  <c r="AV248" i="13"/>
  <c r="P248" i="13"/>
  <c r="AF248" i="13"/>
  <c r="BA248" i="13"/>
  <c r="BP248" i="13"/>
  <c r="AH248" i="13"/>
  <c r="BO248" i="13"/>
  <c r="BE248" i="13"/>
  <c r="D248" i="13"/>
  <c r="F248" i="13"/>
  <c r="S248" i="13"/>
  <c r="AG248" i="13"/>
  <c r="BB248" i="13"/>
  <c r="BR248" i="13"/>
  <c r="AW248" i="13"/>
  <c r="Z248" i="13"/>
  <c r="G248" i="13"/>
  <c r="U248" i="13"/>
  <c r="AI248" i="13"/>
  <c r="BC248" i="13"/>
  <c r="BQ248" i="13"/>
  <c r="Y248" i="13"/>
  <c r="AJ248" i="13"/>
  <c r="BD248" i="13"/>
  <c r="BT248" i="13"/>
  <c r="AK248" i="13"/>
  <c r="AX248" i="13"/>
  <c r="AB248" i="13"/>
  <c r="AY248" i="13"/>
  <c r="AA248" i="13"/>
  <c r="N248" i="13"/>
  <c r="H248" i="13"/>
  <c r="BU248" i="13"/>
  <c r="AL248" i="13"/>
  <c r="V248" i="13"/>
  <c r="R248" i="13"/>
  <c r="Q248" i="13"/>
  <c r="J248" i="13"/>
  <c r="AC248" i="13"/>
  <c r="BF248" i="13"/>
  <c r="X248" i="13"/>
  <c r="BG248" i="13"/>
  <c r="AS248" i="13"/>
  <c r="BH248" i="13"/>
  <c r="T248" i="13"/>
  <c r="AM248" i="13"/>
  <c r="BU247" i="13"/>
  <c r="AX247" i="13"/>
  <c r="AF247" i="13"/>
  <c r="S247" i="13"/>
  <c r="Z247" i="13"/>
  <c r="T247" i="13"/>
  <c r="AH247" i="13"/>
  <c r="AW247" i="13"/>
  <c r="BO247" i="13"/>
  <c r="G247" i="13"/>
  <c r="U247" i="13"/>
  <c r="AI247" i="13"/>
  <c r="BC247" i="13"/>
  <c r="BQ247" i="13"/>
  <c r="AA247" i="13"/>
  <c r="Y247" i="13"/>
  <c r="AJ247" i="13"/>
  <c r="BD247" i="13"/>
  <c r="BT247" i="13"/>
  <c r="H247" i="13"/>
  <c r="AK247" i="13"/>
  <c r="N247" i="13"/>
  <c r="R247" i="13"/>
  <c r="AB247" i="13"/>
  <c r="AL247" i="13"/>
  <c r="AY247" i="13"/>
  <c r="Q247" i="13"/>
  <c r="V247" i="13"/>
  <c r="AM247" i="13"/>
  <c r="BE247" i="13"/>
  <c r="AD247" i="13"/>
  <c r="BH247" i="13"/>
  <c r="AE247" i="13"/>
  <c r="AV247" i="13"/>
  <c r="P247" i="13"/>
  <c r="BP247" i="13"/>
  <c r="BB247" i="13"/>
  <c r="AG247" i="13"/>
  <c r="J247" i="13"/>
  <c r="AC247" i="13"/>
  <c r="BF247" i="13"/>
  <c r="X247" i="13"/>
  <c r="BG247" i="13"/>
  <c r="O247" i="13"/>
  <c r="AS247" i="13"/>
  <c r="K247" i="13"/>
  <c r="D247" i="13"/>
  <c r="BA247" i="13"/>
  <c r="F247" i="13"/>
  <c r="BR247" i="13"/>
  <c r="K246" i="13"/>
  <c r="AE246" i="13"/>
  <c r="BA246" i="13"/>
  <c r="BR246" i="13"/>
  <c r="P246" i="13"/>
  <c r="AF246" i="13"/>
  <c r="BB246" i="13"/>
  <c r="BO246" i="13"/>
  <c r="S246" i="13"/>
  <c r="AW246" i="13"/>
  <c r="D246" i="13"/>
  <c r="F246" i="13"/>
  <c r="Z246" i="13"/>
  <c r="T246" i="13"/>
  <c r="AH246" i="13"/>
  <c r="BC246" i="13"/>
  <c r="BT246" i="13"/>
  <c r="G246" i="13"/>
  <c r="U246" i="13"/>
  <c r="AI246" i="13"/>
  <c r="BD246" i="13"/>
  <c r="BU246" i="13"/>
  <c r="AK246" i="13"/>
  <c r="AC246" i="13"/>
  <c r="AS246" i="13"/>
  <c r="AD246" i="13"/>
  <c r="AG246" i="13"/>
  <c r="AA246" i="13"/>
  <c r="Y246" i="13"/>
  <c r="AJ246" i="13"/>
  <c r="AX246" i="13"/>
  <c r="H246" i="13"/>
  <c r="AY246" i="13"/>
  <c r="BG246" i="13"/>
  <c r="AV246" i="13"/>
  <c r="BQ246" i="13"/>
  <c r="N246" i="13"/>
  <c r="R246" i="13"/>
  <c r="AB246" i="13"/>
  <c r="AL246" i="13"/>
  <c r="BE246" i="13"/>
  <c r="V246" i="13"/>
  <c r="AM246" i="13"/>
  <c r="BF246" i="13"/>
  <c r="BH246" i="13"/>
  <c r="BP246" i="13"/>
  <c r="Q246" i="13"/>
  <c r="J246" i="13"/>
  <c r="X246" i="13"/>
  <c r="O246" i="13"/>
  <c r="O245" i="13"/>
  <c r="K245" i="13"/>
  <c r="D245" i="13"/>
  <c r="P245" i="13"/>
  <c r="AF245" i="13"/>
  <c r="BA245" i="13"/>
  <c r="BP245" i="13"/>
  <c r="F245" i="13"/>
  <c r="S245" i="13"/>
  <c r="AG245" i="13"/>
  <c r="BB245" i="13"/>
  <c r="BR245" i="13"/>
  <c r="Z245" i="13"/>
  <c r="T245" i="13"/>
  <c r="AH245" i="13"/>
  <c r="AW245" i="13"/>
  <c r="BO245" i="13"/>
  <c r="Y245" i="13"/>
  <c r="AJ245" i="13"/>
  <c r="BD245" i="13"/>
  <c r="BT245" i="13"/>
  <c r="H245" i="13"/>
  <c r="AK245" i="13"/>
  <c r="AX245" i="13"/>
  <c r="V245" i="13"/>
  <c r="G245" i="13"/>
  <c r="U245" i="13"/>
  <c r="AI245" i="13"/>
  <c r="BC245" i="13"/>
  <c r="BQ245" i="13"/>
  <c r="AA245" i="13"/>
  <c r="N245" i="13"/>
  <c r="BU245" i="13"/>
  <c r="BE245" i="13"/>
  <c r="R245" i="13"/>
  <c r="AB245" i="13"/>
  <c r="AL245" i="13"/>
  <c r="AY245" i="13"/>
  <c r="AM245" i="13"/>
  <c r="Q245" i="13"/>
  <c r="J245" i="13"/>
  <c r="AC245" i="13"/>
  <c r="BF245" i="13"/>
  <c r="BG245" i="13"/>
  <c r="AD245" i="13"/>
  <c r="AS245" i="13"/>
  <c r="BH245" i="13"/>
  <c r="AE245" i="13"/>
  <c r="AV245" i="13"/>
  <c r="X245" i="13"/>
  <c r="X244" i="13"/>
  <c r="BG244" i="13"/>
  <c r="O244" i="13"/>
  <c r="AD244" i="13"/>
  <c r="AS244" i="13"/>
  <c r="BH244" i="13"/>
  <c r="K244" i="13"/>
  <c r="D244" i="13"/>
  <c r="P244" i="13"/>
  <c r="AF244" i="13"/>
  <c r="BA244" i="13"/>
  <c r="BP244" i="13"/>
  <c r="F244" i="13"/>
  <c r="S244" i="13"/>
  <c r="AG244" i="13"/>
  <c r="BB244" i="13"/>
  <c r="BR244" i="13"/>
  <c r="Z244" i="13"/>
  <c r="T244" i="13"/>
  <c r="AH244" i="13"/>
  <c r="AW244" i="13"/>
  <c r="BO244" i="13"/>
  <c r="G244" i="13"/>
  <c r="U244" i="13"/>
  <c r="AI244" i="13"/>
  <c r="BC244" i="13"/>
  <c r="BQ244" i="13"/>
  <c r="AA244" i="13"/>
  <c r="Y244" i="13"/>
  <c r="AJ244" i="13"/>
  <c r="BD244" i="13"/>
  <c r="BT244" i="13"/>
  <c r="N244" i="13"/>
  <c r="H244" i="13"/>
  <c r="AK244" i="13"/>
  <c r="AX244" i="13"/>
  <c r="BU244" i="13"/>
  <c r="R244" i="13"/>
  <c r="AB244" i="13"/>
  <c r="AL244" i="13"/>
  <c r="AY244" i="13"/>
  <c r="AM244" i="13"/>
  <c r="AV244" i="13"/>
  <c r="Q244" i="13"/>
  <c r="V244" i="13"/>
  <c r="BE244" i="13"/>
  <c r="J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K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F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Z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D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B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V243" i="13"/>
  <c r="AY243" i="13"/>
  <c r="T224" i="13"/>
  <c r="T200" i="13"/>
  <c r="T176" i="13"/>
  <c r="T152" i="13"/>
  <c r="T128" i="13"/>
  <c r="T104" i="13"/>
  <c r="T82" i="13"/>
  <c r="T65" i="13"/>
  <c r="T43" i="13"/>
  <c r="T21" i="13"/>
  <c r="G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AA243" i="13"/>
  <c r="BF243" i="13"/>
  <c r="T222" i="13"/>
  <c r="T198" i="13"/>
  <c r="T174" i="13"/>
  <c r="T150" i="13"/>
  <c r="T126" i="13"/>
  <c r="T102" i="13"/>
  <c r="T80" i="13"/>
  <c r="T58" i="13"/>
  <c r="T41" i="13"/>
  <c r="T19" i="13"/>
  <c r="N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J243" i="13"/>
  <c r="T164" i="13"/>
  <c r="T93" i="13"/>
  <c r="T46" i="13"/>
  <c r="X243" i="13"/>
  <c r="T163" i="13"/>
  <c r="T92" i="13"/>
  <c r="T33" i="13"/>
  <c r="T162" i="13"/>
  <c r="T91" i="13"/>
  <c r="T32" i="13"/>
  <c r="Y243" i="13"/>
  <c r="T161" i="13"/>
  <c r="T90" i="13"/>
  <c r="T31" i="13"/>
  <c r="H243" i="13"/>
  <c r="AL242" i="13"/>
  <c r="Z242" i="13"/>
  <c r="U242" i="13"/>
  <c r="AI242" i="13"/>
  <c r="BC242" i="13"/>
  <c r="BQ242" i="13"/>
  <c r="G242" i="13"/>
  <c r="Y242" i="13"/>
  <c r="AJ242" i="13"/>
  <c r="BD242" i="13"/>
  <c r="BT242" i="13"/>
  <c r="AA242" i="13"/>
  <c r="H242" i="13"/>
  <c r="BU242" i="13"/>
  <c r="AY242" i="13"/>
  <c r="R242" i="13"/>
  <c r="V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X242" i="13"/>
  <c r="O242" i="13"/>
  <c r="K242" i="13"/>
  <c r="BP242" i="13"/>
  <c r="BR242" i="13"/>
  <c r="AH242" i="13"/>
  <c r="BO242" i="13"/>
  <c r="N242" i="13"/>
  <c r="J242" i="13"/>
  <c r="BG242" i="13"/>
  <c r="AD242" i="13"/>
  <c r="AS242" i="13"/>
  <c r="AE242" i="13"/>
  <c r="AF242" i="13"/>
  <c r="D242" i="13"/>
  <c r="AG242" i="13"/>
  <c r="F242" i="13"/>
  <c r="AW242" i="13"/>
  <c r="AK242" i="13"/>
  <c r="AB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F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Z241" i="13"/>
  <c r="H241" i="13"/>
  <c r="AK241" i="13"/>
  <c r="AY241" i="13"/>
  <c r="U107" i="13"/>
  <c r="G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B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AA241" i="13"/>
  <c r="V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N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J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X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D241" i="13"/>
  <c r="BD241" i="13"/>
  <c r="U181" i="13"/>
  <c r="U121" i="13"/>
  <c r="U73" i="13"/>
  <c r="U25" i="13"/>
  <c r="Y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K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K240" i="13"/>
  <c r="AH240" i="13"/>
  <c r="AW240" i="13"/>
  <c r="BQ240" i="13"/>
  <c r="P240" i="13"/>
  <c r="AI240" i="13"/>
  <c r="BC240" i="13"/>
  <c r="BT240" i="13"/>
  <c r="D240" i="13"/>
  <c r="F240" i="13"/>
  <c r="Y240" i="13"/>
  <c r="AJ240" i="13"/>
  <c r="BD240" i="13"/>
  <c r="Z240" i="13"/>
  <c r="H240" i="13"/>
  <c r="AK240" i="13"/>
  <c r="AX240" i="13"/>
  <c r="G240" i="13"/>
  <c r="AB240" i="13"/>
  <c r="AL240" i="13"/>
  <c r="AY240" i="13"/>
  <c r="AA240" i="13"/>
  <c r="V240" i="13"/>
  <c r="AM240" i="13"/>
  <c r="BF240" i="13"/>
  <c r="N240" i="13"/>
  <c r="AC240" i="13"/>
  <c r="BG240" i="13"/>
  <c r="R240" i="13"/>
  <c r="BH240" i="13"/>
  <c r="BA240" i="13"/>
  <c r="Q240" i="13"/>
  <c r="AD240" i="13"/>
  <c r="AS240" i="13"/>
  <c r="AF240" i="13"/>
  <c r="BR240" i="13"/>
  <c r="J240" i="13"/>
  <c r="AE240" i="13"/>
  <c r="AV240" i="13"/>
  <c r="BP240" i="13"/>
  <c r="X240" i="13"/>
  <c r="G239" i="13"/>
  <c r="G226" i="13"/>
  <c r="G224" i="13"/>
  <c r="G223" i="13"/>
  <c r="G236" i="13"/>
  <c r="G233" i="13"/>
  <c r="G229" i="13"/>
  <c r="G238" i="13"/>
  <c r="G225" i="13"/>
  <c r="G237" i="13"/>
  <c r="G235" i="13"/>
  <c r="G234" i="13"/>
  <c r="G231" i="13"/>
  <c r="G232" i="13"/>
  <c r="G230" i="13"/>
  <c r="G228" i="13"/>
  <c r="G227" i="13"/>
  <c r="O239" i="13"/>
  <c r="AG239" i="13"/>
  <c r="BB239" i="13"/>
  <c r="BO239" i="13"/>
  <c r="K239" i="13"/>
  <c r="AH239" i="13"/>
  <c r="BQ239" i="13"/>
  <c r="P239" i="13"/>
  <c r="AI239" i="13"/>
  <c r="BT239" i="13"/>
  <c r="BP239" i="13"/>
  <c r="AF239" i="13"/>
  <c r="AW239" i="13"/>
  <c r="D239" i="13"/>
  <c r="BC239" i="13"/>
  <c r="J239" i="13"/>
  <c r="F239" i="13"/>
  <c r="Y239" i="13"/>
  <c r="AJ239" i="13"/>
  <c r="BD239" i="13"/>
  <c r="BU239" i="13"/>
  <c r="AM239" i="13"/>
  <c r="BF239" i="13"/>
  <c r="N239" i="13"/>
  <c r="AD239" i="13"/>
  <c r="AV239" i="13"/>
  <c r="X239" i="13"/>
  <c r="Z239" i="13"/>
  <c r="H239" i="13"/>
  <c r="AK239" i="13"/>
  <c r="AX239" i="13"/>
  <c r="V239" i="13"/>
  <c r="BG239" i="13"/>
  <c r="BH239" i="13"/>
  <c r="Q239" i="13"/>
  <c r="BA239" i="13"/>
  <c r="AB239" i="13"/>
  <c r="AL239" i="13"/>
  <c r="AY239" i="13"/>
  <c r="AA239" i="13"/>
  <c r="AC239" i="13"/>
  <c r="R239" i="13"/>
  <c r="AS239" i="13"/>
  <c r="AE239" i="13"/>
  <c r="BR239" i="13"/>
  <c r="O238" i="13"/>
  <c r="AG238" i="13"/>
  <c r="BB238" i="13"/>
  <c r="BO238" i="13"/>
  <c r="K238" i="13"/>
  <c r="AH238" i="13"/>
  <c r="AW238" i="13"/>
  <c r="BQ238" i="13"/>
  <c r="D238" i="13"/>
  <c r="P238" i="13"/>
  <c r="AI238" i="13"/>
  <c r="BC238" i="13"/>
  <c r="BT238" i="13"/>
  <c r="F238" i="13"/>
  <c r="Y238" i="13"/>
  <c r="AJ238" i="13"/>
  <c r="BD238" i="13"/>
  <c r="BU238" i="13"/>
  <c r="Z238" i="13"/>
  <c r="H238" i="13"/>
  <c r="AK238" i="13"/>
  <c r="AX238" i="13"/>
  <c r="AB238" i="13"/>
  <c r="AL238" i="13"/>
  <c r="AY238" i="13"/>
  <c r="AA238" i="13"/>
  <c r="V238" i="13"/>
  <c r="AM238" i="13"/>
  <c r="BF238" i="13"/>
  <c r="N238" i="13"/>
  <c r="AC238" i="13"/>
  <c r="BG238" i="13"/>
  <c r="R238" i="13"/>
  <c r="BH238" i="13"/>
  <c r="Q238" i="13"/>
  <c r="AD238" i="13"/>
  <c r="AS238" i="13"/>
  <c r="J238" i="13"/>
  <c r="AE238" i="13"/>
  <c r="AV238" i="13"/>
  <c r="BP238" i="13"/>
  <c r="X238" i="13"/>
  <c r="AF238" i="13"/>
  <c r="BA238" i="13"/>
  <c r="BR238" i="13"/>
  <c r="O237" i="13"/>
  <c r="AG237" i="13"/>
  <c r="BB237" i="13"/>
  <c r="BO237" i="13"/>
  <c r="BG237" i="13"/>
  <c r="K237" i="13"/>
  <c r="AH237" i="13"/>
  <c r="AW237" i="13"/>
  <c r="BQ237" i="13"/>
  <c r="R237" i="13"/>
  <c r="Q237" i="13"/>
  <c r="J237" i="13"/>
  <c r="AF237" i="13"/>
  <c r="D237" i="13"/>
  <c r="P237" i="13"/>
  <c r="AI237" i="13"/>
  <c r="BC237" i="13"/>
  <c r="BT237" i="13"/>
  <c r="BH237" i="13"/>
  <c r="AE237" i="13"/>
  <c r="BR237" i="13"/>
  <c r="F237" i="13"/>
  <c r="Y237" i="13"/>
  <c r="AJ237" i="13"/>
  <c r="BD237" i="13"/>
  <c r="BU237" i="13"/>
  <c r="AA237" i="13"/>
  <c r="BF237" i="13"/>
  <c r="N237" i="13"/>
  <c r="AS237" i="13"/>
  <c r="BP237" i="13"/>
  <c r="X237" i="13"/>
  <c r="Z237" i="13"/>
  <c r="H237" i="13"/>
  <c r="AK237" i="13"/>
  <c r="AX237" i="13"/>
  <c r="V237" i="13"/>
  <c r="AB237" i="13"/>
  <c r="AL237" i="13"/>
  <c r="AY237" i="13"/>
  <c r="AM237" i="13"/>
  <c r="AC237" i="13"/>
  <c r="AD237" i="13"/>
  <c r="BA237" i="13"/>
  <c r="AV237" i="13"/>
  <c r="BU225" i="13"/>
  <c r="BU213" i="13"/>
  <c r="AB236" i="13"/>
  <c r="AL236" i="13"/>
  <c r="BF236" i="13"/>
  <c r="BU236" i="13"/>
  <c r="BU224" i="13"/>
  <c r="BU212" i="13"/>
  <c r="AA236" i="13"/>
  <c r="V236" i="13"/>
  <c r="AM236" i="13"/>
  <c r="BG236" i="13"/>
  <c r="BU235" i="13"/>
  <c r="BU223" i="13"/>
  <c r="BU211" i="13"/>
  <c r="N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J236" i="13"/>
  <c r="AE236" i="13"/>
  <c r="BA236" i="13"/>
  <c r="BO236" i="13"/>
  <c r="BU231" i="13"/>
  <c r="BU219" i="13"/>
  <c r="BU207" i="13"/>
  <c r="X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K236" i="13"/>
  <c r="AH236" i="13"/>
  <c r="BC236" i="13"/>
  <c r="BU228" i="13"/>
  <c r="BU216" i="13"/>
  <c r="D236" i="13"/>
  <c r="P236" i="13"/>
  <c r="AI236" i="13"/>
  <c r="BD236" i="13"/>
  <c r="BU227" i="13"/>
  <c r="BU215" i="13"/>
  <c r="F236" i="13"/>
  <c r="Y236" i="13"/>
  <c r="AJ236" i="13"/>
  <c r="AX236" i="13"/>
  <c r="BU226" i="13"/>
  <c r="BU214" i="13"/>
  <c r="Z236" i="13"/>
  <c r="H236" i="13"/>
  <c r="AK236" i="13"/>
  <c r="AY236" i="13"/>
  <c r="O235" i="13"/>
  <c r="AG235" i="13"/>
  <c r="BB235" i="13"/>
  <c r="BO235" i="13"/>
  <c r="K235" i="13"/>
  <c r="AH235" i="13"/>
  <c r="AW235" i="13"/>
  <c r="BQ235" i="13"/>
  <c r="D235" i="13"/>
  <c r="P235" i="13"/>
  <c r="AI235" i="13"/>
  <c r="BC235" i="13"/>
  <c r="BT235" i="13"/>
  <c r="F235" i="13"/>
  <c r="Y235" i="13"/>
  <c r="AJ235" i="13"/>
  <c r="BD235" i="13"/>
  <c r="Z235" i="13"/>
  <c r="H235" i="13"/>
  <c r="AK235" i="13"/>
  <c r="AX235" i="13"/>
  <c r="AB235" i="13"/>
  <c r="AL235" i="13"/>
  <c r="AY235" i="13"/>
  <c r="AA235" i="13"/>
  <c r="V235" i="13"/>
  <c r="AM235" i="13"/>
  <c r="BF235" i="13"/>
  <c r="N235" i="13"/>
  <c r="AC235" i="13"/>
  <c r="BG235" i="13"/>
  <c r="R235" i="13"/>
  <c r="BH235" i="13"/>
  <c r="Q235" i="13"/>
  <c r="AD235" i="13"/>
  <c r="AS235" i="13"/>
  <c r="J235" i="13"/>
  <c r="AE235" i="13"/>
  <c r="AV235" i="13"/>
  <c r="BP235" i="13"/>
  <c r="X235" i="13"/>
  <c r="AF235" i="13"/>
  <c r="BA235" i="13"/>
  <c r="BR235" i="13"/>
  <c r="AA234" i="13"/>
  <c r="V234" i="13"/>
  <c r="AM234" i="13"/>
  <c r="BG234" i="13"/>
  <c r="N234" i="13"/>
  <c r="AC234" i="13"/>
  <c r="BH234" i="13"/>
  <c r="R234" i="13"/>
  <c r="AS234" i="13"/>
  <c r="AV234" i="13"/>
  <c r="X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Z234" i="13"/>
  <c r="AK234" i="13"/>
  <c r="J234" i="13"/>
  <c r="K234" i="13"/>
  <c r="BF234" i="13"/>
  <c r="Q234" i="13"/>
  <c r="AE234" i="13"/>
  <c r="D234" i="13"/>
  <c r="P234" i="13"/>
  <c r="AI234" i="13"/>
  <c r="BD234" i="13"/>
  <c r="F234" i="13"/>
  <c r="Y234" i="13"/>
  <c r="AJ234" i="13"/>
  <c r="H234" i="13"/>
  <c r="AB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K233" i="13"/>
  <c r="AH233" i="13"/>
  <c r="AW233" i="13"/>
  <c r="BQ233" i="13"/>
  <c r="BT233" i="13"/>
  <c r="Z233" i="13"/>
  <c r="AK233" i="13"/>
  <c r="AA233" i="13"/>
  <c r="BF233" i="13"/>
  <c r="Q233" i="13"/>
  <c r="AV233" i="13"/>
  <c r="BA233" i="13"/>
  <c r="D233" i="13"/>
  <c r="P233" i="13"/>
  <c r="AI233" i="13"/>
  <c r="BC233" i="13"/>
  <c r="H233" i="13"/>
  <c r="AX233" i="13"/>
  <c r="AL233" i="13"/>
  <c r="V233" i="13"/>
  <c r="BG233" i="13"/>
  <c r="AD233" i="13"/>
  <c r="AE233" i="13"/>
  <c r="X233" i="13"/>
  <c r="F233" i="13"/>
  <c r="Y233" i="13"/>
  <c r="AJ233" i="13"/>
  <c r="BD233" i="13"/>
  <c r="AB233" i="13"/>
  <c r="AY233" i="13"/>
  <c r="AM233" i="13"/>
  <c r="N233" i="13"/>
  <c r="R233" i="13"/>
  <c r="J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J232" i="13"/>
  <c r="BP232" i="13"/>
  <c r="X232" i="13"/>
  <c r="BR232" i="13"/>
  <c r="K232" i="13"/>
  <c r="AH232" i="13"/>
  <c r="AW232" i="13"/>
  <c r="BQ232" i="13"/>
  <c r="D232" i="13"/>
  <c r="BC232" i="13"/>
  <c r="AB232" i="13"/>
  <c r="V232" i="13"/>
  <c r="N232" i="13"/>
  <c r="BG232" i="13"/>
  <c r="R232" i="13"/>
  <c r="AD232" i="13"/>
  <c r="AE232" i="13"/>
  <c r="BA232" i="13"/>
  <c r="F232" i="13"/>
  <c r="Y232" i="13"/>
  <c r="AJ232" i="13"/>
  <c r="BD232" i="13"/>
  <c r="Z232" i="13"/>
  <c r="H232" i="13"/>
  <c r="AK232" i="13"/>
  <c r="AX232" i="13"/>
  <c r="AL232" i="13"/>
  <c r="AA232" i="13"/>
  <c r="AM232" i="13"/>
  <c r="AC232" i="13"/>
  <c r="BH232" i="13"/>
  <c r="Q232" i="13"/>
  <c r="AV232" i="13"/>
  <c r="AF232" i="13"/>
  <c r="J231" i="13"/>
  <c r="J219" i="13"/>
  <c r="J207" i="13"/>
  <c r="J195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J224" i="13"/>
  <c r="J164" i="13"/>
  <c r="J128" i="13"/>
  <c r="J92" i="13"/>
  <c r="J56" i="13"/>
  <c r="J20" i="13"/>
  <c r="J187" i="13"/>
  <c r="J151" i="13"/>
  <c r="J103" i="13"/>
  <c r="J55" i="13"/>
  <c r="J7" i="13"/>
  <c r="J230" i="13"/>
  <c r="J218" i="13"/>
  <c r="J206" i="13"/>
  <c r="J194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J213" i="13"/>
  <c r="J201" i="13"/>
  <c r="J177" i="13"/>
  <c r="J153" i="13"/>
  <c r="J117" i="13"/>
  <c r="J81" i="13"/>
  <c r="J45" i="13"/>
  <c r="J9" i="13"/>
  <c r="J212" i="13"/>
  <c r="J176" i="13"/>
  <c r="J140" i="13"/>
  <c r="J104" i="13"/>
  <c r="J68" i="13"/>
  <c r="J32" i="13"/>
  <c r="J211" i="13"/>
  <c r="J163" i="13"/>
  <c r="J115" i="13"/>
  <c r="J67" i="13"/>
  <c r="J31" i="13"/>
  <c r="J198" i="13"/>
  <c r="J162" i="13"/>
  <c r="J126" i="13"/>
  <c r="J90" i="13"/>
  <c r="J54" i="13"/>
  <c r="J18" i="13"/>
  <c r="J221" i="13"/>
  <c r="J185" i="13"/>
  <c r="J161" i="13"/>
  <c r="J125" i="13"/>
  <c r="J89" i="13"/>
  <c r="J53" i="13"/>
  <c r="J5" i="13"/>
  <c r="J220" i="13"/>
  <c r="J184" i="13"/>
  <c r="J148" i="13"/>
  <c r="J112" i="13"/>
  <c r="J76" i="13"/>
  <c r="J40" i="13"/>
  <c r="J4" i="13"/>
  <c r="J229" i="13"/>
  <c r="J217" i="13"/>
  <c r="J205" i="13"/>
  <c r="J193" i="13"/>
  <c r="J181" i="13"/>
  <c r="J169" i="13"/>
  <c r="J228" i="13"/>
  <c r="J216" i="13"/>
  <c r="J204" i="13"/>
  <c r="J192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J225" i="13"/>
  <c r="J165" i="13"/>
  <c r="J141" i="13"/>
  <c r="J105" i="13"/>
  <c r="J57" i="13"/>
  <c r="J33" i="13"/>
  <c r="J199" i="13"/>
  <c r="J127" i="13"/>
  <c r="J79" i="13"/>
  <c r="J19" i="13"/>
  <c r="J210" i="13"/>
  <c r="J150" i="13"/>
  <c r="J114" i="13"/>
  <c r="J78" i="13"/>
  <c r="J42" i="13"/>
  <c r="J6" i="13"/>
  <c r="J209" i="13"/>
  <c r="J149" i="13"/>
  <c r="J113" i="13"/>
  <c r="J77" i="13"/>
  <c r="J41" i="13"/>
  <c r="J208" i="13"/>
  <c r="J172" i="13"/>
  <c r="J136" i="13"/>
  <c r="J100" i="13"/>
  <c r="J52" i="13"/>
  <c r="J28" i="13"/>
  <c r="J227" i="13"/>
  <c r="J215" i="13"/>
  <c r="J203" i="13"/>
  <c r="J191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J226" i="13"/>
  <c r="J214" i="13"/>
  <c r="J202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J189" i="13"/>
  <c r="J129" i="13"/>
  <c r="J93" i="13"/>
  <c r="J69" i="13"/>
  <c r="J21" i="13"/>
  <c r="J200" i="13"/>
  <c r="J188" i="13"/>
  <c r="J152" i="13"/>
  <c r="J116" i="13"/>
  <c r="J80" i="13"/>
  <c r="J44" i="13"/>
  <c r="J8" i="13"/>
  <c r="J223" i="13"/>
  <c r="J175" i="13"/>
  <c r="J139" i="13"/>
  <c r="J91" i="13"/>
  <c r="J43" i="13"/>
  <c r="J222" i="13"/>
  <c r="J186" i="13"/>
  <c r="J174" i="13"/>
  <c r="J138" i="13"/>
  <c r="J102" i="13"/>
  <c r="J66" i="13"/>
  <c r="J30" i="13"/>
  <c r="J197" i="13"/>
  <c r="J173" i="13"/>
  <c r="J137" i="13"/>
  <c r="J101" i="13"/>
  <c r="J65" i="13"/>
  <c r="J29" i="13"/>
  <c r="J17" i="13"/>
  <c r="J196" i="13"/>
  <c r="J160" i="13"/>
  <c r="J124" i="13"/>
  <c r="J88" i="13"/>
  <c r="J64" i="13"/>
  <c r="J16" i="13"/>
  <c r="AH231" i="13"/>
  <c r="AW231" i="13"/>
  <c r="BQ231" i="13"/>
  <c r="BR220" i="13"/>
  <c r="BR208" i="13"/>
  <c r="K231" i="13"/>
  <c r="P231" i="13"/>
  <c r="AI231" i="13"/>
  <c r="BC231" i="13"/>
  <c r="BT231" i="13"/>
  <c r="BR219" i="13"/>
  <c r="BR207" i="13"/>
  <c r="D231" i="13"/>
  <c r="Y231" i="13"/>
  <c r="AJ231" i="13"/>
  <c r="BD231" i="13"/>
  <c r="BR230" i="13"/>
  <c r="BR218" i="13"/>
  <c r="BR206" i="13"/>
  <c r="F231" i="13"/>
  <c r="H231" i="13"/>
  <c r="AK231" i="13"/>
  <c r="AX231" i="13"/>
  <c r="BR229" i="13"/>
  <c r="BR217" i="13"/>
  <c r="Z231" i="13"/>
  <c r="AB231" i="13"/>
  <c r="AL231" i="13"/>
  <c r="AY231" i="13"/>
  <c r="BR228" i="13"/>
  <c r="BR216" i="13"/>
  <c r="V231" i="13"/>
  <c r="AM231" i="13"/>
  <c r="BF231" i="13"/>
  <c r="BR227" i="13"/>
  <c r="BR215" i="13"/>
  <c r="AA231" i="13"/>
  <c r="AC231" i="13"/>
  <c r="BG231" i="13"/>
  <c r="BR226" i="13"/>
  <c r="BR214" i="13"/>
  <c r="N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X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X227" i="13"/>
  <c r="X215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X226" i="13"/>
  <c r="X214" i="13"/>
  <c r="X202" i="13"/>
  <c r="X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X225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224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222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221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220" i="13"/>
  <c r="X208" i="13"/>
  <c r="X196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X219" i="13"/>
  <c r="X207" i="13"/>
  <c r="X195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X230" i="13"/>
  <c r="X218" i="13"/>
  <c r="X206" i="13"/>
  <c r="X194" i="13"/>
  <c r="X182" i="13"/>
  <c r="X170" i="13"/>
  <c r="X158" i="13"/>
  <c r="X146" i="13"/>
  <c r="X134" i="13"/>
  <c r="X217" i="13"/>
  <c r="X169" i="13"/>
  <c r="X122" i="13"/>
  <c r="X86" i="13"/>
  <c r="X50" i="13"/>
  <c r="X14" i="13"/>
  <c r="X84" i="13"/>
  <c r="X12" i="13"/>
  <c r="X157" i="13"/>
  <c r="X43" i="13"/>
  <c r="X204" i="13"/>
  <c r="X110" i="13"/>
  <c r="X199" i="13"/>
  <c r="X73" i="13"/>
  <c r="X145" i="13"/>
  <c r="X144" i="13"/>
  <c r="X98" i="13"/>
  <c r="X229" i="13"/>
  <c r="X25" i="13"/>
  <c r="X132" i="13"/>
  <c r="X24" i="13"/>
  <c r="X223" i="13"/>
  <c r="X91" i="13"/>
  <c r="X216" i="13"/>
  <c r="X168" i="13"/>
  <c r="X121" i="13"/>
  <c r="X85" i="13"/>
  <c r="X49" i="13"/>
  <c r="X13" i="13"/>
  <c r="X211" i="13"/>
  <c r="X163" i="13"/>
  <c r="X120" i="13"/>
  <c r="X48" i="13"/>
  <c r="X205" i="13"/>
  <c r="X115" i="13"/>
  <c r="X79" i="13"/>
  <c r="X7" i="13"/>
  <c r="X156" i="13"/>
  <c r="X74" i="13"/>
  <c r="X38" i="13"/>
  <c r="X151" i="13"/>
  <c r="X37" i="13"/>
  <c r="X193" i="13"/>
  <c r="X72" i="13"/>
  <c r="X36" i="13"/>
  <c r="X192" i="13"/>
  <c r="X67" i="13"/>
  <c r="X31" i="13"/>
  <c r="X187" i="13"/>
  <c r="X62" i="13"/>
  <c r="X181" i="13"/>
  <c r="X97" i="13"/>
  <c r="X228" i="13"/>
  <c r="X60" i="13"/>
  <c r="X175" i="13"/>
  <c r="X19" i="13"/>
  <c r="X109" i="13"/>
  <c r="X108" i="13"/>
  <c r="X103" i="13"/>
  <c r="X139" i="13"/>
  <c r="X26" i="13"/>
  <c r="X133" i="13"/>
  <c r="X61" i="13"/>
  <c r="X180" i="13"/>
  <c r="X96" i="13"/>
  <c r="X127" i="13"/>
  <c r="X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K230" i="13"/>
  <c r="Y230" i="13"/>
  <c r="AJ230" i="13"/>
  <c r="BF230" i="13"/>
  <c r="BC225" i="13"/>
  <c r="BC213" i="13"/>
  <c r="BC201" i="13"/>
  <c r="AW221" i="13"/>
  <c r="AW209" i="13"/>
  <c r="D230" i="13"/>
  <c r="H230" i="13"/>
  <c r="AK230" i="13"/>
  <c r="BG230" i="13"/>
  <c r="BC224" i="13"/>
  <c r="BC212" i="13"/>
  <c r="BC200" i="13"/>
  <c r="AW220" i="13"/>
  <c r="AW208" i="13"/>
  <c r="F230" i="13"/>
  <c r="AB230" i="13"/>
  <c r="AL230" i="13"/>
  <c r="BH230" i="13"/>
  <c r="BC223" i="13"/>
  <c r="BC211" i="13"/>
  <c r="BC199" i="13"/>
  <c r="AW219" i="13"/>
  <c r="AW207" i="13"/>
  <c r="Z230" i="13"/>
  <c r="V230" i="13"/>
  <c r="AM230" i="13"/>
  <c r="BP230" i="13"/>
  <c r="BC222" i="13"/>
  <c r="BC210" i="13"/>
  <c r="AW230" i="13"/>
  <c r="AW218" i="13"/>
  <c r="AW206" i="13"/>
  <c r="BC221" i="13"/>
  <c r="N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AA230" i="13"/>
  <c r="AW216" i="13"/>
  <c r="BQ230" i="13"/>
  <c r="O229" i="13"/>
  <c r="AG229" i="13"/>
  <c r="BB229" i="13"/>
  <c r="AI229" i="13"/>
  <c r="D229" i="13"/>
  <c r="AJ229" i="13"/>
  <c r="AY229" i="13"/>
  <c r="F229" i="13"/>
  <c r="AH229" i="13"/>
  <c r="BD229" i="13"/>
  <c r="P229" i="13"/>
  <c r="AX229" i="13"/>
  <c r="Y229" i="13"/>
  <c r="K229" i="13"/>
  <c r="Z229" i="13"/>
  <c r="AB229" i="13"/>
  <c r="AL229" i="13"/>
  <c r="BG229" i="13"/>
  <c r="AC229" i="13"/>
  <c r="Q229" i="13"/>
  <c r="BT229" i="13"/>
  <c r="V229" i="13"/>
  <c r="AM229" i="13"/>
  <c r="BH229" i="13"/>
  <c r="BP229" i="13"/>
  <c r="BA229" i="13"/>
  <c r="AK229" i="13"/>
  <c r="AA229" i="13"/>
  <c r="BF229" i="13"/>
  <c r="N229" i="13"/>
  <c r="AD229" i="13"/>
  <c r="AS229" i="13"/>
  <c r="BO229" i="13"/>
  <c r="R229" i="13"/>
  <c r="AE229" i="13"/>
  <c r="AV229" i="13"/>
  <c r="BQ229" i="13"/>
  <c r="AF229" i="13"/>
  <c r="H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N228" i="13"/>
  <c r="BQ228" i="13"/>
  <c r="AC228" i="13"/>
  <c r="AA228" i="13"/>
  <c r="BO228" i="13"/>
  <c r="AM228" i="13"/>
  <c r="V228" i="13"/>
  <c r="BP228" i="13"/>
  <c r="AL228" i="13"/>
  <c r="AB228" i="13"/>
  <c r="Z228" i="13"/>
  <c r="BH228" i="13"/>
  <c r="AK228" i="13"/>
  <c r="H228" i="13"/>
  <c r="F228" i="13"/>
  <c r="BG228" i="13"/>
  <c r="AJ228" i="13"/>
  <c r="Y228" i="13"/>
  <c r="D228" i="13"/>
  <c r="BF228" i="13"/>
  <c r="AI228" i="13"/>
  <c r="P228" i="13"/>
  <c r="K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K227" i="13"/>
  <c r="Y227" i="13"/>
  <c r="AJ227" i="13"/>
  <c r="BH227" i="13"/>
  <c r="BQ226" i="13"/>
  <c r="BQ214" i="13"/>
  <c r="H227" i="13"/>
  <c r="BP227" i="13"/>
  <c r="BQ213" i="13"/>
  <c r="BO227" i="13"/>
  <c r="AV227" i="13"/>
  <c r="AD227" i="13"/>
  <c r="R227" i="13"/>
  <c r="AL227" i="13"/>
  <c r="AE227" i="13"/>
  <c r="BQ224" i="13"/>
  <c r="BQ212" i="13"/>
  <c r="Z227" i="13"/>
  <c r="V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B227" i="13"/>
  <c r="N227" i="13"/>
  <c r="BQ208" i="13"/>
  <c r="BQ218" i="13"/>
  <c r="BQ206" i="13"/>
  <c r="O227" i="13"/>
  <c r="AG227" i="13"/>
  <c r="AY227" i="13"/>
  <c r="AI227" i="13"/>
  <c r="F227" i="13"/>
  <c r="BQ210" i="13"/>
  <c r="BA227" i="13"/>
  <c r="BQ217" i="13"/>
  <c r="AH227" i="13"/>
  <c r="BF227" i="13"/>
  <c r="BQ216" i="13"/>
  <c r="BG227" i="13"/>
  <c r="D227" i="13"/>
  <c r="BQ225" i="13"/>
  <c r="AA227" i="13"/>
  <c r="BQ209" i="13"/>
  <c r="BA216" i="13"/>
  <c r="BA204" i="13"/>
  <c r="N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K226" i="13"/>
  <c r="Y226" i="13"/>
  <c r="AJ226" i="13"/>
  <c r="BH226" i="13"/>
  <c r="BA222" i="13"/>
  <c r="BA221" i="13"/>
  <c r="BA209" i="13"/>
  <c r="D226" i="13"/>
  <c r="H226" i="13"/>
  <c r="AK226" i="13"/>
  <c r="BP226" i="13"/>
  <c r="AC226" i="13"/>
  <c r="AA226" i="13"/>
  <c r="AS226" i="13"/>
  <c r="AF226" i="13"/>
  <c r="BA201" i="13"/>
  <c r="BA220" i="13"/>
  <c r="BA208" i="13"/>
  <c r="F226" i="13"/>
  <c r="AB226" i="13"/>
  <c r="AL226" i="13"/>
  <c r="BO226" i="13"/>
  <c r="BA206" i="13"/>
  <c r="BA205" i="13"/>
  <c r="AE226" i="13"/>
  <c r="BA214" i="13"/>
  <c r="AG226" i="13"/>
  <c r="BA219" i="13"/>
  <c r="BA207" i="13"/>
  <c r="Z226" i="13"/>
  <c r="V226" i="13"/>
  <c r="AM226" i="13"/>
  <c r="BT226" i="13"/>
  <c r="BD226" i="13"/>
  <c r="BA202" i="13"/>
  <c r="BA213" i="13"/>
  <c r="AY226" i="13"/>
  <c r="BA218" i="13"/>
  <c r="BA217" i="13"/>
  <c r="K225" i="13"/>
  <c r="Y225" i="13"/>
  <c r="AJ225" i="13"/>
  <c r="BH225" i="13"/>
  <c r="D225" i="13"/>
  <c r="H225" i="13"/>
  <c r="AK225" i="13"/>
  <c r="BP225" i="13"/>
  <c r="F225" i="13"/>
  <c r="AB225" i="13"/>
  <c r="AL225" i="13"/>
  <c r="BO225" i="13"/>
  <c r="Z225" i="13"/>
  <c r="V225" i="13"/>
  <c r="AM225" i="13"/>
  <c r="BT225" i="13"/>
  <c r="AC225" i="13"/>
  <c r="AA225" i="13"/>
  <c r="AS225" i="13"/>
  <c r="N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AA224" i="13"/>
  <c r="AD224" i="13"/>
  <c r="BD224" i="13"/>
  <c r="AF224" i="13"/>
  <c r="AG224" i="13"/>
  <c r="AH224" i="13"/>
  <c r="P224" i="13"/>
  <c r="BH224" i="13"/>
  <c r="Y224" i="13"/>
  <c r="K224" i="13"/>
  <c r="AK224" i="13"/>
  <c r="AB224" i="13"/>
  <c r="V224" i="13"/>
  <c r="Z224" i="13"/>
  <c r="AV224" i="13"/>
  <c r="N224" i="13"/>
  <c r="AE224" i="13"/>
  <c r="AX224" i="13"/>
  <c r="R224" i="13"/>
  <c r="AY224" i="13"/>
  <c r="Q224" i="13"/>
  <c r="BF224" i="13"/>
  <c r="O224" i="13"/>
  <c r="BG224" i="13"/>
  <c r="AI224" i="13"/>
  <c r="AJ224" i="13"/>
  <c r="H224" i="13"/>
  <c r="BP224" i="13"/>
  <c r="D224" i="13"/>
  <c r="AL224" i="13"/>
  <c r="F224" i="13"/>
  <c r="AM224" i="13"/>
  <c r="AC224" i="13"/>
  <c r="AS224" i="13"/>
  <c r="N2935" i="11"/>
  <c r="N2525" i="11"/>
  <c r="N2475" i="11"/>
  <c r="N2977" i="11"/>
  <c r="N3046" i="11"/>
  <c r="AH223" i="13"/>
  <c r="AY223" i="13"/>
  <c r="Y223" i="13"/>
  <c r="D223" i="13"/>
  <c r="AK223" i="13"/>
  <c r="F223" i="13"/>
  <c r="AB223" i="13"/>
  <c r="V223" i="13"/>
  <c r="AC223" i="13"/>
  <c r="AA223" i="13"/>
  <c r="N223" i="13"/>
  <c r="AE223" i="13"/>
  <c r="AV223" i="13"/>
  <c r="P223" i="13"/>
  <c r="AI223" i="13"/>
  <c r="BF223" i="13"/>
  <c r="K223" i="13"/>
  <c r="AJ223" i="13"/>
  <c r="BG223" i="13"/>
  <c r="H223" i="13"/>
  <c r="BH223" i="13"/>
  <c r="AL223" i="13"/>
  <c r="Z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AA222" i="13"/>
  <c r="AA210" i="13"/>
  <c r="AA209" i="13"/>
  <c r="AA208" i="13"/>
  <c r="AA207" i="13"/>
  <c r="AA218" i="13"/>
  <c r="AA206" i="13"/>
  <c r="AA217" i="13"/>
  <c r="AA205" i="13"/>
  <c r="AA221" i="13"/>
  <c r="AA204" i="13"/>
  <c r="AA211" i="13"/>
  <c r="AA220" i="13"/>
  <c r="AA219" i="13"/>
  <c r="AA216" i="13"/>
  <c r="AA215" i="13"/>
  <c r="AA203" i="13"/>
  <c r="AA214" i="13"/>
  <c r="AA213" i="13"/>
  <c r="AA212" i="13"/>
  <c r="K221" i="13"/>
  <c r="O221" i="13"/>
  <c r="AJ221" i="13"/>
  <c r="BH221" i="13"/>
  <c r="Y222" i="13"/>
  <c r="AH222" i="13"/>
  <c r="BF222" i="13"/>
  <c r="AB221" i="13"/>
  <c r="K222" i="13"/>
  <c r="AJ222" i="13"/>
  <c r="BH222" i="13"/>
  <c r="V221" i="13"/>
  <c r="H222" i="13"/>
  <c r="AK222" i="13"/>
  <c r="G221" i="13"/>
  <c r="F222" i="13"/>
  <c r="AL222" i="13"/>
  <c r="Z222" i="13"/>
  <c r="AM222" i="13"/>
  <c r="AV221" i="13"/>
  <c r="R221" i="13"/>
  <c r="AE221" i="13"/>
  <c r="AS222" i="13"/>
  <c r="AF221" i="13"/>
  <c r="AX221" i="13"/>
  <c r="N222" i="13"/>
  <c r="AD222" i="13"/>
  <c r="AV222" i="13"/>
  <c r="P221" i="13"/>
  <c r="AG221" i="13"/>
  <c r="AY221" i="13"/>
  <c r="R222" i="13"/>
  <c r="AE222" i="13"/>
  <c r="BD222" i="13"/>
  <c r="Y221" i="13"/>
  <c r="AH221" i="13"/>
  <c r="BF221" i="13"/>
  <c r="AF222" i="13"/>
  <c r="AX222" i="13"/>
  <c r="Q221" i="13"/>
  <c r="AI221" i="13"/>
  <c r="BG221" i="13"/>
  <c r="P222" i="13"/>
  <c r="AG222" i="13"/>
  <c r="AY222" i="13"/>
  <c r="D221" i="13"/>
  <c r="H221" i="13"/>
  <c r="AK221" i="13"/>
  <c r="BP221" i="13"/>
  <c r="Q222" i="13"/>
  <c r="AI222" i="13"/>
  <c r="BG222" i="13"/>
  <c r="F221" i="13"/>
  <c r="AL221" i="13"/>
  <c r="O222" i="13"/>
  <c r="Z221" i="13"/>
  <c r="AM221" i="13"/>
  <c r="D222" i="13"/>
  <c r="BP222" i="13"/>
  <c r="AC221" i="13"/>
  <c r="AB222" i="13"/>
  <c r="AS221" i="13"/>
  <c r="V222" i="13"/>
  <c r="N221" i="13"/>
  <c r="AD221" i="13"/>
  <c r="G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Z219" i="13"/>
  <c r="AM219" i="13"/>
  <c r="D219" i="13"/>
  <c r="Q220" i="13"/>
  <c r="AI220" i="13"/>
  <c r="BF220" i="13"/>
  <c r="O220" i="13"/>
  <c r="H220" i="13"/>
  <c r="BH220" i="13"/>
  <c r="V220" i="13"/>
  <c r="K220" i="13"/>
  <c r="D220" i="13"/>
  <c r="F220" i="13"/>
  <c r="Z220" i="13"/>
  <c r="G220" i="13"/>
  <c r="N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Y220" i="13"/>
  <c r="AH220" i="13"/>
  <c r="AY220" i="13"/>
  <c r="BG220" i="13"/>
  <c r="AB220" i="13"/>
  <c r="K219" i="13"/>
  <c r="BG219" i="13"/>
  <c r="AI219" i="13"/>
  <c r="Q219" i="13"/>
  <c r="BF219" i="13"/>
  <c r="AH219" i="13"/>
  <c r="Y219" i="13"/>
  <c r="AY219" i="13"/>
  <c r="AG219" i="13"/>
  <c r="P219" i="13"/>
  <c r="AX219" i="13"/>
  <c r="AF219" i="13"/>
  <c r="BD219" i="13"/>
  <c r="AE219" i="13"/>
  <c r="R219" i="13"/>
  <c r="AV219" i="13"/>
  <c r="AD219" i="13"/>
  <c r="N219" i="13"/>
  <c r="AS219" i="13"/>
  <c r="AC219" i="13"/>
  <c r="G219" i="13"/>
  <c r="V219" i="13"/>
  <c r="AL219" i="13"/>
  <c r="AB219" i="13"/>
  <c r="F219" i="13"/>
  <c r="BP219" i="13"/>
  <c r="AK219" i="13"/>
  <c r="H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I217" i="13"/>
  <c r="AZ217" i="13"/>
  <c r="I218" i="13"/>
  <c r="AZ218" i="13"/>
  <c r="O26" i="39"/>
  <c r="O25" i="39"/>
  <c r="O24" i="39"/>
  <c r="O23" i="39" l="1"/>
  <c r="I215" i="13" l="1"/>
  <c r="AZ215" i="13"/>
  <c r="I216" i="13"/>
  <c r="AZ216" i="13"/>
  <c r="O22" i="39"/>
  <c r="O21" i="39"/>
  <c r="O20" i="39"/>
  <c r="O3" i="42" l="1"/>
  <c r="O19" i="39"/>
  <c r="O11" i="41"/>
  <c r="I214" i="13" l="1"/>
  <c r="AZ214" i="13"/>
  <c r="O18" i="39"/>
  <c r="L23" i="38" l="1"/>
  <c r="I213" i="13"/>
  <c r="AZ213" i="13"/>
  <c r="I212" i="13"/>
  <c r="AZ212" i="13"/>
  <c r="O17" i="39"/>
  <c r="C29" i="41" l="1"/>
  <c r="F29" i="41"/>
  <c r="I210" i="13" l="1"/>
  <c r="AZ210" i="13"/>
  <c r="I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I209" i="13" s="1"/>
  <c r="K232" i="36"/>
  <c r="L232" i="36" s="1"/>
  <c r="P232" i="36"/>
  <c r="N232" i="36" l="1"/>
  <c r="O232" i="36" s="1"/>
  <c r="M232" i="36"/>
  <c r="AZ209" i="13" s="1"/>
  <c r="I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I207" i="13"/>
  <c r="AZ207" i="13"/>
  <c r="L22" i="38"/>
  <c r="V2925" i="11"/>
  <c r="O4" i="39"/>
  <c r="L21" i="38"/>
  <c r="V2915" i="11"/>
  <c r="O13" i="41"/>
  <c r="O8" i="41"/>
  <c r="O15" i="41" s="1"/>
  <c r="O16" i="41" l="1"/>
  <c r="I206" i="13" l="1"/>
  <c r="AZ206" i="13"/>
  <c r="V2910" i="11"/>
  <c r="V2909" i="11"/>
  <c r="F13" i="41" l="1"/>
  <c r="F8" i="41"/>
  <c r="F15" i="41" s="1"/>
  <c r="F16" i="41" l="1"/>
  <c r="L20" i="38"/>
  <c r="I205" i="13"/>
  <c r="AZ205" i="13"/>
  <c r="I203" i="13"/>
  <c r="AZ203" i="13"/>
  <c r="I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I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I201" i="13"/>
  <c r="AZ201" i="13"/>
  <c r="I200" i="13"/>
  <c r="AZ200" i="13"/>
  <c r="V2813" i="11"/>
  <c r="V2812" i="11"/>
  <c r="V2788" i="11"/>
  <c r="V2787" i="11"/>
  <c r="I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I198" i="13"/>
  <c r="AZ198" i="13"/>
  <c r="I196" i="13"/>
  <c r="AZ196" i="13"/>
  <c r="J226" i="36"/>
  <c r="J227" i="36"/>
  <c r="I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I195" i="13"/>
  <c r="AZ195" i="13"/>
  <c r="I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I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I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I191" i="13" l="1"/>
  <c r="AZ191" i="13"/>
  <c r="J216" i="36" l="1"/>
  <c r="K216" i="36"/>
  <c r="L216" i="36" s="1"/>
  <c r="P216" i="36"/>
  <c r="I187" i="13"/>
  <c r="AZ187" i="13"/>
  <c r="J210" i="36"/>
  <c r="I186" i="13" s="1"/>
  <c r="J211" i="36"/>
  <c r="J212" i="36"/>
  <c r="J213" i="36"/>
  <c r="J214" i="36"/>
  <c r="I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I188" i="13" l="1"/>
  <c r="M216" i="36"/>
  <c r="N216" i="36"/>
  <c r="O216" i="36" s="1"/>
  <c r="M211" i="36"/>
  <c r="M214" i="36"/>
  <c r="M213" i="36"/>
  <c r="I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I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I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I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I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I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I173" i="13"/>
  <c r="AZ170" i="13"/>
  <c r="I170" i="13"/>
  <c r="I149" i="13"/>
  <c r="I148" i="13"/>
  <c r="I147" i="13"/>
  <c r="I146" i="13"/>
  <c r="I145" i="13"/>
  <c r="I144" i="13"/>
  <c r="I143" i="13"/>
  <c r="I142" i="13"/>
  <c r="I141" i="13"/>
  <c r="I140" i="13"/>
  <c r="I139" i="13"/>
  <c r="I138" i="13"/>
  <c r="I137" i="13"/>
  <c r="I136" i="13"/>
  <c r="I135" i="13"/>
  <c r="I134" i="13"/>
  <c r="I133" i="13"/>
  <c r="I132" i="13"/>
  <c r="I131" i="13"/>
  <c r="I130" i="13"/>
  <c r="I129" i="13"/>
  <c r="I128" i="13"/>
  <c r="I127" i="13"/>
  <c r="I126" i="13"/>
  <c r="I125" i="13"/>
  <c r="I124" i="13"/>
  <c r="I123" i="13"/>
  <c r="I122" i="13"/>
  <c r="I121" i="13"/>
  <c r="I120" i="13"/>
  <c r="I119" i="13"/>
  <c r="I118" i="13"/>
  <c r="I117" i="13"/>
  <c r="I116" i="13"/>
  <c r="I115" i="13"/>
  <c r="I114" i="13"/>
  <c r="I113" i="13"/>
  <c r="I112" i="13"/>
  <c r="I111" i="13"/>
  <c r="I110" i="13"/>
  <c r="I109" i="13"/>
  <c r="I108" i="13"/>
  <c r="I107" i="13"/>
  <c r="I106" i="13"/>
  <c r="I105" i="13"/>
  <c r="I104" i="13"/>
  <c r="I103" i="13"/>
  <c r="I102" i="13"/>
  <c r="I101" i="13"/>
  <c r="I100" i="13"/>
  <c r="I99" i="13"/>
  <c r="I98" i="13"/>
  <c r="I97" i="13"/>
  <c r="I96" i="13"/>
  <c r="I95" i="13"/>
  <c r="I94" i="13"/>
  <c r="I93" i="13"/>
  <c r="I92" i="13"/>
  <c r="I91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I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I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K217" i="13"/>
  <c r="O217" i="13"/>
  <c r="AJ217" i="13"/>
  <c r="BG217" i="13"/>
  <c r="AF218" i="13"/>
  <c r="AX218" i="13"/>
  <c r="AY218" i="13"/>
  <c r="G217" i="13"/>
  <c r="D217" i="13"/>
  <c r="H217" i="13"/>
  <c r="AK217" i="13"/>
  <c r="BH217" i="13"/>
  <c r="AG218" i="13"/>
  <c r="BH218" i="13"/>
  <c r="F217" i="13"/>
  <c r="AB217" i="13"/>
  <c r="AL217" i="13"/>
  <c r="Y218" i="13"/>
  <c r="AH218" i="13"/>
  <c r="BF218" i="13"/>
  <c r="AC217" i="13"/>
  <c r="Z217" i="13"/>
  <c r="V217" i="13"/>
  <c r="AM217" i="13"/>
  <c r="BP217" i="13"/>
  <c r="Q218" i="13"/>
  <c r="AI218" i="13"/>
  <c r="BG218" i="13"/>
  <c r="AJ218" i="13"/>
  <c r="K218" i="13"/>
  <c r="D218" i="13"/>
  <c r="H218" i="13"/>
  <c r="AK218" i="13"/>
  <c r="BP218" i="13"/>
  <c r="Y217" i="13"/>
  <c r="AD218" i="13"/>
  <c r="AV218" i="13"/>
  <c r="N217" i="13"/>
  <c r="AD217" i="13"/>
  <c r="AS217" i="13"/>
  <c r="F218" i="13"/>
  <c r="AB218" i="13"/>
  <c r="AL218" i="13"/>
  <c r="AX217" i="13"/>
  <c r="N218" i="13"/>
  <c r="R217" i="13"/>
  <c r="AE217" i="13"/>
  <c r="AV217" i="13"/>
  <c r="Z218" i="13"/>
  <c r="V218" i="13"/>
  <c r="AM218" i="13"/>
  <c r="AS218" i="13"/>
  <c r="AY217" i="13"/>
  <c r="AF217" i="13"/>
  <c r="BD217" i="13"/>
  <c r="G218" i="13"/>
  <c r="AC218" i="13"/>
  <c r="P217" i="13"/>
  <c r="AG217" i="13"/>
  <c r="AH217" i="13"/>
  <c r="Q215" i="13"/>
  <c r="AI215" i="13"/>
  <c r="BF215" i="13"/>
  <c r="Y216" i="13"/>
  <c r="BG216" i="13"/>
  <c r="K215" i="13"/>
  <c r="O215" i="13"/>
  <c r="AJ215" i="13"/>
  <c r="BG215" i="13"/>
  <c r="R216" i="13"/>
  <c r="AE216" i="13"/>
  <c r="BD216" i="13"/>
  <c r="AJ216" i="13"/>
  <c r="D215" i="13"/>
  <c r="AH216" i="13"/>
  <c r="F215" i="13"/>
  <c r="AB215" i="13"/>
  <c r="AL215" i="13"/>
  <c r="P216" i="13"/>
  <c r="AG216" i="13"/>
  <c r="AY216" i="13"/>
  <c r="V215" i="13"/>
  <c r="Q216" i="13"/>
  <c r="BH216" i="13"/>
  <c r="Z215" i="13"/>
  <c r="G215" i="13"/>
  <c r="N215" i="13"/>
  <c r="AD215" i="13"/>
  <c r="AS215" i="13"/>
  <c r="D216" i="13"/>
  <c r="H216" i="13"/>
  <c r="AK216" i="13"/>
  <c r="BP216" i="13"/>
  <c r="AE215" i="13"/>
  <c r="AV215" i="13"/>
  <c r="F216" i="13"/>
  <c r="AB216" i="13"/>
  <c r="AL216" i="13"/>
  <c r="BH215" i="13"/>
  <c r="BF216" i="13"/>
  <c r="R215" i="13"/>
  <c r="AF215" i="13"/>
  <c r="BD215" i="13"/>
  <c r="Z216" i="13"/>
  <c r="V216" i="13"/>
  <c r="AM216" i="13"/>
  <c r="AH215" i="13"/>
  <c r="AS216" i="13"/>
  <c r="N216" i="13"/>
  <c r="AD216" i="13"/>
  <c r="AK215" i="13"/>
  <c r="AX216" i="13"/>
  <c r="AI216" i="13"/>
  <c r="K216" i="13"/>
  <c r="P215" i="13"/>
  <c r="AG215" i="13"/>
  <c r="AX215" i="13"/>
  <c r="G216" i="13"/>
  <c r="AC216" i="13"/>
  <c r="AY215" i="13"/>
  <c r="AV216" i="13"/>
  <c r="H215" i="13"/>
  <c r="AF216" i="13"/>
  <c r="BP215" i="13"/>
  <c r="AC215" i="13"/>
  <c r="Y215" i="13"/>
  <c r="AM215" i="13"/>
  <c r="O216" i="13"/>
  <c r="Z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Z11" i="13"/>
  <c r="Z202" i="13"/>
  <c r="Z178" i="13"/>
  <c r="Z166" i="13"/>
  <c r="Z142" i="13"/>
  <c r="Z118" i="13"/>
  <c r="Z94" i="13"/>
  <c r="Z70" i="13"/>
  <c r="Z46" i="13"/>
  <c r="Z22" i="13"/>
  <c r="Z79" i="13"/>
  <c r="Z7" i="13"/>
  <c r="Z50" i="13"/>
  <c r="Z169" i="13"/>
  <c r="Z49" i="13"/>
  <c r="Z203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90" i="13"/>
  <c r="Z154" i="13"/>
  <c r="Z130" i="13"/>
  <c r="Z106" i="13"/>
  <c r="Z82" i="13"/>
  <c r="Z58" i="13"/>
  <c r="Z34" i="13"/>
  <c r="Z10" i="13"/>
  <c r="Z19" i="13"/>
  <c r="Z122" i="13"/>
  <c r="Z26" i="13"/>
  <c r="Z193" i="13"/>
  <c r="Z73" i="13"/>
  <c r="Z214" i="13"/>
  <c r="Z55" i="13"/>
  <c r="Z181" i="13"/>
  <c r="Z37" i="13"/>
  <c r="Z213" i="13"/>
  <c r="Z201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Z31" i="13"/>
  <c r="Z62" i="13"/>
  <c r="Z121" i="13"/>
  <c r="Z212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Z199" i="13"/>
  <c r="Z187" i="13"/>
  <c r="Z175" i="13"/>
  <c r="Z163" i="13"/>
  <c r="Z211" i="13"/>
  <c r="Z151" i="13"/>
  <c r="Z139" i="13"/>
  <c r="Z127" i="13"/>
  <c r="Z115" i="13"/>
  <c r="Z103" i="13"/>
  <c r="Z91" i="13"/>
  <c r="Z67" i="13"/>
  <c r="Z43" i="13"/>
  <c r="Z110" i="13"/>
  <c r="Z145" i="13"/>
  <c r="Z109" i="13"/>
  <c r="Z25" i="13"/>
  <c r="Z210" i="13"/>
  <c r="Z198" i="13"/>
  <c r="Z186" i="13"/>
  <c r="Z174" i="13"/>
  <c r="Z162" i="13"/>
  <c r="Z150" i="13"/>
  <c r="Z138" i="13"/>
  <c r="Z126" i="13"/>
  <c r="Z114" i="13"/>
  <c r="Z102" i="13"/>
  <c r="Z90" i="13"/>
  <c r="Z78" i="13"/>
  <c r="Z66" i="13"/>
  <c r="Z54" i="13"/>
  <c r="Z42" i="13"/>
  <c r="Z30" i="13"/>
  <c r="Z18" i="13"/>
  <c r="Z6" i="13"/>
  <c r="Z86" i="13"/>
  <c r="Z205" i="13"/>
  <c r="Z97" i="13"/>
  <c r="Z209" i="13"/>
  <c r="Z197" i="13"/>
  <c r="Z185" i="13"/>
  <c r="Z173" i="13"/>
  <c r="Z161" i="13"/>
  <c r="Z149" i="13"/>
  <c r="Z137" i="13"/>
  <c r="Z125" i="13"/>
  <c r="Z113" i="13"/>
  <c r="Z101" i="13"/>
  <c r="Z89" i="13"/>
  <c r="Z77" i="13"/>
  <c r="Z65" i="13"/>
  <c r="Z53" i="13"/>
  <c r="Z41" i="13"/>
  <c r="Z29" i="13"/>
  <c r="Z17" i="13"/>
  <c r="Z5" i="13"/>
  <c r="Z148" i="13"/>
  <c r="Z100" i="13"/>
  <c r="Z76" i="13"/>
  <c r="Z52" i="13"/>
  <c r="Z28" i="13"/>
  <c r="Z16" i="13"/>
  <c r="Z195" i="13"/>
  <c r="Z159" i="13"/>
  <c r="Z135" i="13"/>
  <c r="Z111" i="13"/>
  <c r="Z87" i="13"/>
  <c r="Z63" i="13"/>
  <c r="Z39" i="13"/>
  <c r="Z15" i="13"/>
  <c r="Z206" i="13"/>
  <c r="Z194" i="13"/>
  <c r="Z182" i="13"/>
  <c r="Z170" i="13"/>
  <c r="Z146" i="13"/>
  <c r="Z134" i="13"/>
  <c r="Z74" i="13"/>
  <c r="Z14" i="13"/>
  <c r="Z157" i="13"/>
  <c r="Z85" i="13"/>
  <c r="Z13" i="13"/>
  <c r="Z208" i="13"/>
  <c r="Z196" i="13"/>
  <c r="Z184" i="13"/>
  <c r="Z172" i="13"/>
  <c r="Z160" i="13"/>
  <c r="Z136" i="13"/>
  <c r="Z124" i="13"/>
  <c r="Z112" i="13"/>
  <c r="Z88" i="13"/>
  <c r="Z64" i="13"/>
  <c r="Z40" i="13"/>
  <c r="Z4" i="13"/>
  <c r="Z207" i="13"/>
  <c r="Z183" i="13"/>
  <c r="Z171" i="13"/>
  <c r="Z147" i="13"/>
  <c r="Z123" i="13"/>
  <c r="Z99" i="13"/>
  <c r="Z75" i="13"/>
  <c r="Z51" i="13"/>
  <c r="Z27" i="13"/>
  <c r="Z158" i="13"/>
  <c r="Z98" i="13"/>
  <c r="Z38" i="13"/>
  <c r="Z133" i="13"/>
  <c r="Z61" i="13"/>
  <c r="H214" i="13"/>
  <c r="AJ214" i="13"/>
  <c r="BG214" i="13"/>
  <c r="AH214" i="13"/>
  <c r="K214" i="13"/>
  <c r="AB214" i="13"/>
  <c r="AK214" i="13"/>
  <c r="BH214" i="13"/>
  <c r="AY214" i="13"/>
  <c r="D214" i="13"/>
  <c r="N214" i="13"/>
  <c r="AL214" i="13"/>
  <c r="AG214" i="13"/>
  <c r="F214" i="13"/>
  <c r="V214" i="13"/>
  <c r="AM214" i="13"/>
  <c r="BP214" i="13"/>
  <c r="AV214" i="13"/>
  <c r="Y214" i="13"/>
  <c r="AC214" i="13"/>
  <c r="O214" i="13"/>
  <c r="Q214" i="13"/>
  <c r="BD214" i="13"/>
  <c r="AI214" i="13"/>
  <c r="G214" i="13"/>
  <c r="AD214" i="13"/>
  <c r="AS214" i="13"/>
  <c r="AF214" i="13"/>
  <c r="AX214" i="13"/>
  <c r="P214" i="13"/>
  <c r="AE214" i="13"/>
  <c r="BF214" i="13"/>
  <c r="R214" i="13"/>
  <c r="H213" i="13"/>
  <c r="AJ213" i="13"/>
  <c r="BG213" i="13"/>
  <c r="K213" i="13"/>
  <c r="AB213" i="13"/>
  <c r="AK213" i="13"/>
  <c r="BH213" i="13"/>
  <c r="D213" i="13"/>
  <c r="N213" i="13"/>
  <c r="AL213" i="13"/>
  <c r="F213" i="13"/>
  <c r="V213" i="13"/>
  <c r="AM213" i="13"/>
  <c r="BP213" i="13"/>
  <c r="Y213" i="13"/>
  <c r="AC213" i="13"/>
  <c r="Q213" i="13"/>
  <c r="G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H212" i="13"/>
  <c r="AJ212" i="13"/>
  <c r="BG212" i="13"/>
  <c r="K212" i="13"/>
  <c r="AB212" i="13"/>
  <c r="AK212" i="13"/>
  <c r="D212" i="13"/>
  <c r="N212" i="13"/>
  <c r="AL212" i="13"/>
  <c r="AC212" i="13"/>
  <c r="Q212" i="13"/>
  <c r="F212" i="13"/>
  <c r="V212" i="13"/>
  <c r="AM212" i="13"/>
  <c r="BP212" i="13"/>
  <c r="Y212" i="13"/>
  <c r="G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V209" i="13"/>
  <c r="P209" i="13"/>
  <c r="AL209" i="13"/>
  <c r="V210" i="13"/>
  <c r="P210" i="13"/>
  <c r="AL210" i="13"/>
  <c r="V211" i="13"/>
  <c r="P211" i="13"/>
  <c r="AL211" i="13"/>
  <c r="BD210" i="13"/>
  <c r="K209" i="13"/>
  <c r="AK209" i="13"/>
  <c r="K210" i="13"/>
  <c r="AK210" i="13"/>
  <c r="K211" i="13"/>
  <c r="AK211" i="13"/>
  <c r="BD208" i="13"/>
  <c r="H209" i="13"/>
  <c r="AC209" i="13"/>
  <c r="AM209" i="13"/>
  <c r="H210" i="13"/>
  <c r="AC210" i="13"/>
  <c r="AM210" i="13"/>
  <c r="H211" i="13"/>
  <c r="AC211" i="13"/>
  <c r="AM211" i="13"/>
  <c r="BD207" i="13"/>
  <c r="D209" i="13"/>
  <c r="G209" i="13"/>
  <c r="D210" i="13"/>
  <c r="G210" i="13"/>
  <c r="D211" i="13"/>
  <c r="G211" i="13"/>
  <c r="BD206" i="13"/>
  <c r="F209" i="13"/>
  <c r="BG209" i="13"/>
  <c r="F210" i="13"/>
  <c r="BG210" i="13"/>
  <c r="F211" i="13"/>
  <c r="BG211" i="13"/>
  <c r="BD205" i="13"/>
  <c r="AB209" i="13"/>
  <c r="AD209" i="13"/>
  <c r="AS209" i="13"/>
  <c r="AB210" i="13"/>
  <c r="AD210" i="13"/>
  <c r="AS210" i="13"/>
  <c r="AB211" i="13"/>
  <c r="AD211" i="13"/>
  <c r="AS211" i="13"/>
  <c r="BD204" i="13"/>
  <c r="N209" i="13"/>
  <c r="AE209" i="13"/>
  <c r="BF209" i="13"/>
  <c r="N210" i="13"/>
  <c r="AE210" i="13"/>
  <c r="BF210" i="13"/>
  <c r="N211" i="13"/>
  <c r="AE211" i="13"/>
  <c r="BF211" i="13"/>
  <c r="BD203" i="13"/>
  <c r="Y209" i="13"/>
  <c r="AF209" i="13"/>
  <c r="AV209" i="13"/>
  <c r="Y210" i="13"/>
  <c r="AF210" i="13"/>
  <c r="AV210" i="13"/>
  <c r="Y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K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V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H208" i="13"/>
  <c r="G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D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B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N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Y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N206" i="13"/>
  <c r="AA202" i="13"/>
  <c r="BG202" i="13"/>
  <c r="N202" i="13"/>
  <c r="BP207" i="13"/>
  <c r="AY199" i="13"/>
  <c r="V205" i="13"/>
  <c r="Y203" i="13"/>
  <c r="D205" i="13"/>
  <c r="BH201" i="13"/>
  <c r="Y204" i="13"/>
  <c r="AX206" i="13"/>
  <c r="AV199" i="13"/>
  <c r="G205" i="13"/>
  <c r="BF204" i="13"/>
  <c r="AS205" i="13"/>
  <c r="AA201" i="13"/>
  <c r="AY207" i="13"/>
  <c r="AX205" i="13"/>
  <c r="BG199" i="13"/>
  <c r="Y207" i="13"/>
  <c r="AX204" i="13"/>
  <c r="AH199" i="13"/>
  <c r="Y205" i="13"/>
  <c r="AS203" i="13"/>
  <c r="BG206" i="13"/>
  <c r="BH207" i="13"/>
  <c r="D207" i="13"/>
  <c r="BG203" i="13"/>
  <c r="BF207" i="13"/>
  <c r="BF200" i="13"/>
  <c r="BF201" i="13"/>
  <c r="G204" i="13"/>
  <c r="AV203" i="13"/>
  <c r="BH205" i="13"/>
  <c r="AS201" i="13"/>
  <c r="N207" i="13"/>
  <c r="AS202" i="13"/>
  <c r="BG207" i="13"/>
  <c r="BH199" i="13"/>
  <c r="BH203" i="13"/>
  <c r="V206" i="13"/>
  <c r="N205" i="13"/>
  <c r="N203" i="13"/>
  <c r="AX207" i="13"/>
  <c r="AV202" i="13"/>
  <c r="R206" i="13"/>
  <c r="BH202" i="13"/>
  <c r="N204" i="13"/>
  <c r="AV207" i="13"/>
  <c r="BP206" i="13"/>
  <c r="BX206" i="13" s="1"/>
  <c r="BM207" i="13" s="1"/>
  <c r="AX199" i="13"/>
  <c r="V204" i="13"/>
  <c r="Y202" i="13"/>
  <c r="BF205" i="13"/>
  <c r="AY201" i="13"/>
  <c r="V203" i="13"/>
  <c r="AV206" i="13"/>
  <c r="N200" i="13"/>
  <c r="BF199" i="13"/>
  <c r="V207" i="13"/>
  <c r="AS204" i="13"/>
  <c r="BG205" i="13"/>
  <c r="AY200" i="13"/>
  <c r="N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D206" i="13"/>
  <c r="BF202" i="13"/>
  <c r="AS207" i="13"/>
  <c r="AY204" i="13"/>
  <c r="AX202" i="13"/>
  <c r="BH200" i="13"/>
  <c r="AS199" i="13"/>
  <c r="Y201" i="13"/>
  <c r="Y206" i="13"/>
  <c r="AY206" i="13"/>
  <c r="BG204" i="13"/>
  <c r="AV205" i="13"/>
  <c r="BF206" i="13"/>
  <c r="BF203" i="13"/>
  <c r="K207" i="13"/>
  <c r="P207" i="13"/>
  <c r="AL207" i="13"/>
  <c r="AC207" i="13"/>
  <c r="AM207" i="13"/>
  <c r="F207" i="13"/>
  <c r="AE207" i="13"/>
  <c r="AF207" i="13"/>
  <c r="H207" i="13"/>
  <c r="AG207" i="13"/>
  <c r="Q207" i="13"/>
  <c r="AH207" i="13"/>
  <c r="AJ207" i="13"/>
  <c r="AK207" i="13"/>
  <c r="AB207" i="13"/>
  <c r="AI207" i="13"/>
  <c r="G207" i="13"/>
  <c r="AD207" i="13"/>
  <c r="K206" i="13"/>
  <c r="AL206" i="13"/>
  <c r="P206" i="13"/>
  <c r="AC206" i="13"/>
  <c r="G206" i="13"/>
  <c r="H206" i="13"/>
  <c r="AD206" i="13"/>
  <c r="F206" i="13"/>
  <c r="AE206" i="13"/>
  <c r="AB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K205" i="13"/>
  <c r="AF205" i="13"/>
  <c r="AL205" i="13"/>
  <c r="AC205" i="13"/>
  <c r="P205" i="13"/>
  <c r="H205" i="13"/>
  <c r="AD205" i="13"/>
  <c r="F205" i="13"/>
  <c r="AE205" i="13"/>
  <c r="AB205" i="13"/>
  <c r="R205" i="13"/>
  <c r="AG205" i="13"/>
  <c r="AI205" i="13"/>
  <c r="K203" i="13"/>
  <c r="AL203" i="13"/>
  <c r="AH204" i="13"/>
  <c r="AF203" i="13"/>
  <c r="AM203" i="13"/>
  <c r="AI204" i="13"/>
  <c r="AC203" i="13"/>
  <c r="Q204" i="13"/>
  <c r="AJ204" i="13"/>
  <c r="H203" i="13"/>
  <c r="P203" i="13"/>
  <c r="AK204" i="13"/>
  <c r="AE203" i="13"/>
  <c r="AF204" i="13"/>
  <c r="AM204" i="13"/>
  <c r="D203" i="13"/>
  <c r="AD203" i="13"/>
  <c r="K204" i="13"/>
  <c r="AL204" i="13"/>
  <c r="F203" i="13"/>
  <c r="AB203" i="13"/>
  <c r="R203" i="13"/>
  <c r="AC204" i="13"/>
  <c r="AG203" i="13"/>
  <c r="H204" i="13"/>
  <c r="P204" i="13"/>
  <c r="AH203" i="13"/>
  <c r="D204" i="13"/>
  <c r="AD204" i="13"/>
  <c r="G203" i="13"/>
  <c r="AI203" i="13"/>
  <c r="F204" i="13"/>
  <c r="AE204" i="13"/>
  <c r="AK203" i="13"/>
  <c r="AG204" i="13"/>
  <c r="Q203" i="13"/>
  <c r="AJ203" i="13"/>
  <c r="AB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G202" i="13"/>
  <c r="Q202" i="13"/>
  <c r="AL202" i="13"/>
  <c r="AM202" i="13"/>
  <c r="AF202" i="13"/>
  <c r="AC202" i="13"/>
  <c r="AE202" i="13"/>
  <c r="F202" i="13"/>
  <c r="AB202" i="13"/>
  <c r="AJ202" i="13"/>
  <c r="AK202" i="13"/>
  <c r="K202" i="13"/>
  <c r="V202" i="13"/>
  <c r="P202" i="13"/>
  <c r="H202" i="13"/>
  <c r="D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AA200" i="13"/>
  <c r="K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K200" i="13"/>
  <c r="V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B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H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D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H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G200" i="13"/>
  <c r="AH61" i="13"/>
  <c r="AH9" i="13"/>
  <c r="F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V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D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G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F200" i="13"/>
  <c r="AI201" i="13"/>
  <c r="Q147" i="13"/>
  <c r="Q57" i="13"/>
  <c r="AH178" i="13"/>
  <c r="AH105" i="13"/>
  <c r="AH49" i="13"/>
  <c r="AB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Y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I177" i="13"/>
  <c r="I179" i="13"/>
  <c r="AA199" i="13"/>
  <c r="P199" i="13"/>
  <c r="AC199" i="13"/>
  <c r="AG199" i="13"/>
  <c r="D199" i="13"/>
  <c r="AI199" i="13"/>
  <c r="AB199" i="13"/>
  <c r="AJ199" i="13"/>
  <c r="N199" i="13"/>
  <c r="AK199" i="13"/>
  <c r="AL199" i="13"/>
  <c r="G199" i="13"/>
  <c r="AE199" i="13"/>
  <c r="K199" i="13"/>
  <c r="V199" i="13"/>
  <c r="R199" i="13"/>
  <c r="H199" i="13"/>
  <c r="AF199" i="13"/>
  <c r="F199" i="13"/>
  <c r="Y199" i="13"/>
  <c r="AM199" i="13"/>
  <c r="K198" i="13"/>
  <c r="AA198" i="13"/>
  <c r="AA196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E196" i="13"/>
  <c r="V197" i="13"/>
  <c r="P197" i="13"/>
  <c r="AA37" i="13"/>
  <c r="AA192" i="13"/>
  <c r="AA132" i="13"/>
  <c r="AA84" i="13"/>
  <c r="AA48" i="13"/>
  <c r="H196" i="13"/>
  <c r="F198" i="13"/>
  <c r="AA155" i="13"/>
  <c r="AA107" i="13"/>
  <c r="AA71" i="13"/>
  <c r="AA23" i="13"/>
  <c r="AI196" i="13"/>
  <c r="AB198" i="13"/>
  <c r="AA130" i="13"/>
  <c r="AA70" i="13"/>
  <c r="AA34" i="13"/>
  <c r="F196" i="13"/>
  <c r="AA175" i="13"/>
  <c r="AA115" i="13"/>
  <c r="AA67" i="13"/>
  <c r="AA7" i="13"/>
  <c r="AA162" i="13"/>
  <c r="AA54" i="13"/>
  <c r="R196" i="13"/>
  <c r="AA197" i="13"/>
  <c r="AA101" i="13"/>
  <c r="AA53" i="13"/>
  <c r="AA17" i="13"/>
  <c r="V198" i="13"/>
  <c r="AA195" i="13"/>
  <c r="AA183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K196" i="13"/>
  <c r="AC197" i="13"/>
  <c r="AG197" i="13"/>
  <c r="AC196" i="13"/>
  <c r="AI197" i="13"/>
  <c r="AF198" i="13"/>
  <c r="AA168" i="13"/>
  <c r="AA156" i="13"/>
  <c r="AA120" i="13"/>
  <c r="AA96" i="13"/>
  <c r="AA60" i="13"/>
  <c r="AA36" i="13"/>
  <c r="AA12" i="13"/>
  <c r="F197" i="13"/>
  <c r="AJ197" i="13"/>
  <c r="AA179" i="13"/>
  <c r="AA143" i="13"/>
  <c r="AA119" i="13"/>
  <c r="AA83" i="13"/>
  <c r="AA59" i="13"/>
  <c r="AA35" i="13"/>
  <c r="D196" i="13"/>
  <c r="AK197" i="13"/>
  <c r="AJ198" i="13"/>
  <c r="AA178" i="13"/>
  <c r="AA166" i="13"/>
  <c r="AA142" i="13"/>
  <c r="AA106" i="13"/>
  <c r="AA94" i="13"/>
  <c r="AA58" i="13"/>
  <c r="AA22" i="13"/>
  <c r="AJ196" i="13"/>
  <c r="AL197" i="13"/>
  <c r="R198" i="13"/>
  <c r="AA151" i="13"/>
  <c r="AA139" i="13"/>
  <c r="AA91" i="13"/>
  <c r="AA55" i="13"/>
  <c r="AA19" i="13"/>
  <c r="AM196" i="13"/>
  <c r="AA174" i="13"/>
  <c r="AA150" i="13"/>
  <c r="AA138" i="13"/>
  <c r="AA114" i="13"/>
  <c r="AA90" i="13"/>
  <c r="AA78" i="13"/>
  <c r="AA30" i="13"/>
  <c r="AA6" i="13"/>
  <c r="AA185" i="13"/>
  <c r="AA173" i="13"/>
  <c r="AA149" i="13"/>
  <c r="AA113" i="13"/>
  <c r="AA89" i="13"/>
  <c r="AA65" i="13"/>
  <c r="AA29" i="13"/>
  <c r="AA5" i="13"/>
  <c r="AC198" i="13"/>
  <c r="P198" i="13"/>
  <c r="AA194" i="13"/>
  <c r="AA182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V196" i="13"/>
  <c r="P196" i="13"/>
  <c r="H197" i="13"/>
  <c r="AF197" i="13"/>
  <c r="H198" i="13"/>
  <c r="AG198" i="13"/>
  <c r="AA193" i="13"/>
  <c r="AA181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25" i="13"/>
  <c r="AA13" i="13"/>
  <c r="AG196" i="13"/>
  <c r="D197" i="13"/>
  <c r="D198" i="13"/>
  <c r="AA180" i="13"/>
  <c r="AA144" i="13"/>
  <c r="AA108" i="13"/>
  <c r="AA72" i="13"/>
  <c r="AA24" i="13"/>
  <c r="AF196" i="13"/>
  <c r="AI198" i="13"/>
  <c r="AA191" i="13"/>
  <c r="AA167" i="13"/>
  <c r="AA131" i="13"/>
  <c r="AA95" i="13"/>
  <c r="AA47" i="13"/>
  <c r="AA11" i="13"/>
  <c r="AB197" i="13"/>
  <c r="AA190" i="13"/>
  <c r="AA154" i="13"/>
  <c r="AA118" i="13"/>
  <c r="AA82" i="13"/>
  <c r="AA46" i="13"/>
  <c r="AA10" i="13"/>
  <c r="N197" i="13"/>
  <c r="AA187" i="13"/>
  <c r="AA163" i="13"/>
  <c r="AA127" i="13"/>
  <c r="AA79" i="13"/>
  <c r="AA31" i="13"/>
  <c r="G197" i="13"/>
  <c r="G198" i="13"/>
  <c r="AA126" i="13"/>
  <c r="AA102" i="13"/>
  <c r="AA66" i="13"/>
  <c r="AA18" i="13"/>
  <c r="AE197" i="13"/>
  <c r="AE198" i="13"/>
  <c r="AA161" i="13"/>
  <c r="AA125" i="13"/>
  <c r="AA77" i="13"/>
  <c r="AA41" i="13"/>
  <c r="G196" i="13"/>
  <c r="N198" i="13"/>
  <c r="AK198" i="13"/>
  <c r="AA189" i="13"/>
  <c r="AA177" i="13"/>
  <c r="AA165" i="13"/>
  <c r="AA153" i="13"/>
  <c r="AA141" i="13"/>
  <c r="AA129" i="13"/>
  <c r="AA117" i="13"/>
  <c r="AA105" i="13"/>
  <c r="AA93" i="13"/>
  <c r="AA81" i="13"/>
  <c r="AA69" i="13"/>
  <c r="AA57" i="13"/>
  <c r="AA45" i="13"/>
  <c r="AA33" i="13"/>
  <c r="AA21" i="13"/>
  <c r="AA9" i="13"/>
  <c r="AB196" i="13"/>
  <c r="AK196" i="13"/>
  <c r="Y197" i="13"/>
  <c r="AM197" i="13"/>
  <c r="Y198" i="13"/>
  <c r="AL198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44" i="13"/>
  <c r="AA32" i="13"/>
  <c r="AA20" i="13"/>
  <c r="AA8" i="13"/>
  <c r="N196" i="13"/>
  <c r="AL196" i="13"/>
  <c r="R197" i="13"/>
  <c r="AM198" i="13"/>
  <c r="AA103" i="13"/>
  <c r="AA43" i="13"/>
  <c r="Y196" i="13"/>
  <c r="AA186" i="13"/>
  <c r="AA42" i="13"/>
  <c r="AA137" i="13"/>
  <c r="K197" i="13"/>
  <c r="AE195" i="13"/>
  <c r="AE194" i="13"/>
  <c r="AF195" i="13"/>
  <c r="K195" i="13"/>
  <c r="K194" i="13"/>
  <c r="H194" i="13"/>
  <c r="V195" i="13"/>
  <c r="P195" i="13"/>
  <c r="V194" i="13"/>
  <c r="P194" i="13"/>
  <c r="AF194" i="13"/>
  <c r="AC195" i="13"/>
  <c r="AG195" i="13"/>
  <c r="AC194" i="13"/>
  <c r="AG194" i="13"/>
  <c r="H195" i="13"/>
  <c r="D195" i="13"/>
  <c r="AI195" i="13"/>
  <c r="D194" i="13"/>
  <c r="AI194" i="13"/>
  <c r="N195" i="13"/>
  <c r="F195" i="13"/>
  <c r="AJ195" i="13"/>
  <c r="F194" i="13"/>
  <c r="AJ194" i="13"/>
  <c r="AL195" i="13"/>
  <c r="AL194" i="13"/>
  <c r="AB195" i="13"/>
  <c r="AK195" i="13"/>
  <c r="AB194" i="13"/>
  <c r="AK194" i="13"/>
  <c r="N194" i="13"/>
  <c r="Y195" i="13"/>
  <c r="AM195" i="13"/>
  <c r="Y194" i="13"/>
  <c r="AM194" i="13"/>
  <c r="G194" i="13"/>
  <c r="R195" i="13"/>
  <c r="R194" i="13"/>
  <c r="G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H193" i="13"/>
  <c r="AJ193" i="13"/>
  <c r="AE49" i="13"/>
  <c r="G179" i="13"/>
  <c r="G155" i="13"/>
  <c r="G131" i="13"/>
  <c r="G107" i="13"/>
  <c r="G83" i="13"/>
  <c r="G59" i="13"/>
  <c r="G35" i="13"/>
  <c r="G11" i="13"/>
  <c r="AK193" i="13"/>
  <c r="G162" i="13"/>
  <c r="G102" i="13"/>
  <c r="G66" i="13"/>
  <c r="G6" i="13"/>
  <c r="G169" i="13"/>
  <c r="G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G191" i="13"/>
  <c r="G167" i="13"/>
  <c r="G143" i="13"/>
  <c r="G119" i="13"/>
  <c r="G95" i="13"/>
  <c r="G71" i="13"/>
  <c r="G47" i="13"/>
  <c r="G23" i="13"/>
  <c r="D193" i="13"/>
  <c r="G114" i="13"/>
  <c r="G18" i="13"/>
  <c r="G145" i="13"/>
  <c r="G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F193" i="13"/>
  <c r="AL193" i="13"/>
  <c r="G164" i="13"/>
  <c r="G30" i="13"/>
  <c r="G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AB193" i="13"/>
  <c r="AM193" i="13"/>
  <c r="G176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N193" i="13"/>
  <c r="G174" i="13"/>
  <c r="G126" i="13"/>
  <c r="G78" i="13"/>
  <c r="G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G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Y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G186" i="13"/>
  <c r="G150" i="13"/>
  <c r="G138" i="13"/>
  <c r="G90" i="13"/>
  <c r="G54" i="13"/>
  <c r="G121" i="13"/>
  <c r="G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AE28" i="13"/>
  <c r="G122" i="13"/>
  <c r="G62" i="13"/>
  <c r="G26" i="13"/>
  <c r="AE171" i="13"/>
  <c r="AE135" i="13"/>
  <c r="AE99" i="13"/>
  <c r="AE39" i="13"/>
  <c r="AE27" i="13"/>
  <c r="G181" i="13"/>
  <c r="G109" i="13"/>
  <c r="G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P193" i="13"/>
  <c r="AE136" i="13"/>
  <c r="AE124" i="13"/>
  <c r="AE100" i="13"/>
  <c r="AE76" i="13"/>
  <c r="AE52" i="13"/>
  <c r="AE16" i="13"/>
  <c r="G182" i="13"/>
  <c r="G146" i="13"/>
  <c r="G98" i="13"/>
  <c r="G74" i="13"/>
  <c r="G38" i="13"/>
  <c r="AF193" i="13"/>
  <c r="AE159" i="13"/>
  <c r="AE123" i="13"/>
  <c r="AE75" i="13"/>
  <c r="AE63" i="13"/>
  <c r="G193" i="13"/>
  <c r="G133" i="13"/>
  <c r="G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K193" i="13"/>
  <c r="AG193" i="13"/>
  <c r="AE148" i="13"/>
  <c r="AE112" i="13"/>
  <c r="AE88" i="13"/>
  <c r="AE64" i="13"/>
  <c r="AE40" i="13"/>
  <c r="AE4" i="13"/>
  <c r="G170" i="13"/>
  <c r="G158" i="13"/>
  <c r="G110" i="13"/>
  <c r="G86" i="13"/>
  <c r="G50" i="13"/>
  <c r="V193" i="13"/>
  <c r="AE183" i="13"/>
  <c r="AE147" i="13"/>
  <c r="AE111" i="13"/>
  <c r="AE87" i="13"/>
  <c r="AE51" i="13"/>
  <c r="AE15" i="13"/>
  <c r="G157" i="13"/>
  <c r="G97" i="13"/>
  <c r="G13" i="13"/>
  <c r="AE184" i="13"/>
  <c r="AE172" i="13"/>
  <c r="AE160" i="13"/>
  <c r="G134" i="13"/>
  <c r="G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H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D192" i="13"/>
  <c r="AL192" i="13"/>
  <c r="R147" i="13"/>
  <c r="R51" i="13"/>
  <c r="R74" i="13"/>
  <c r="V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B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N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Y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K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K191" i="13"/>
  <c r="V191" i="13"/>
  <c r="AJ191" i="13"/>
  <c r="AC191" i="13"/>
  <c r="H191" i="13"/>
  <c r="AL191" i="13"/>
  <c r="D191" i="13"/>
  <c r="AM191" i="13"/>
  <c r="F191" i="13"/>
  <c r="AB191" i="13"/>
  <c r="N191" i="13"/>
  <c r="Y191" i="13"/>
  <c r="P191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Y186" i="13"/>
  <c r="H187" i="13"/>
  <c r="AL187" i="13"/>
  <c r="AG188" i="13"/>
  <c r="F189" i="13"/>
  <c r="V190" i="13"/>
  <c r="AK190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P186" i="13"/>
  <c r="D187" i="13"/>
  <c r="AM187" i="13"/>
  <c r="AF188" i="13"/>
  <c r="AB189" i="13"/>
  <c r="AC190" i="13"/>
  <c r="AL190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N181" i="13"/>
  <c r="N169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AG186" i="13"/>
  <c r="F187" i="13"/>
  <c r="AI188" i="13"/>
  <c r="Y189" i="13"/>
  <c r="H190" i="13"/>
  <c r="AM190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AF186" i="13"/>
  <c r="AB187" i="13"/>
  <c r="K188" i="13"/>
  <c r="AJ188" i="13"/>
  <c r="P189" i="13"/>
  <c r="D190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AI186" i="13"/>
  <c r="Y187" i="13"/>
  <c r="V188" i="13"/>
  <c r="AK188" i="13"/>
  <c r="AG189" i="13"/>
  <c r="F190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37" i="13"/>
  <c r="Y25" i="13"/>
  <c r="Y13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K186" i="13"/>
  <c r="AJ186" i="13"/>
  <c r="AC188" i="13"/>
  <c r="AL188" i="13"/>
  <c r="AF189" i="13"/>
  <c r="AB190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V186" i="13"/>
  <c r="AK186" i="13"/>
  <c r="P187" i="13"/>
  <c r="H188" i="13"/>
  <c r="AM188" i="13"/>
  <c r="AI189" i="13"/>
  <c r="Y190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1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AC186" i="13"/>
  <c r="AL186" i="13"/>
  <c r="AG187" i="13"/>
  <c r="D188" i="13"/>
  <c r="K189" i="13"/>
  <c r="AJ189" i="13"/>
  <c r="P190" i="13"/>
  <c r="Y178" i="13"/>
  <c r="Y166" i="13"/>
  <c r="Y154" i="13"/>
  <c r="Y142" i="13"/>
  <c r="Y130" i="13"/>
  <c r="Y118" i="13"/>
  <c r="Y106" i="13"/>
  <c r="Y94" i="13"/>
  <c r="Y82" i="13"/>
  <c r="Y70" i="13"/>
  <c r="Y58" i="13"/>
  <c r="Y46" i="13"/>
  <c r="Y34" i="13"/>
  <c r="Y22" i="13"/>
  <c r="Y10" i="13"/>
  <c r="N187" i="13"/>
  <c r="N175" i="13"/>
  <c r="N163" i="13"/>
  <c r="N151" i="13"/>
  <c r="N139" i="13"/>
  <c r="N127" i="13"/>
  <c r="N115" i="13"/>
  <c r="N103" i="13"/>
  <c r="N91" i="13"/>
  <c r="N79" i="13"/>
  <c r="N67" i="13"/>
  <c r="N55" i="13"/>
  <c r="N43" i="13"/>
  <c r="N31" i="13"/>
  <c r="N19" i="13"/>
  <c r="N7" i="13"/>
  <c r="H186" i="13"/>
  <c r="AM186" i="13"/>
  <c r="AF187" i="13"/>
  <c r="F188" i="13"/>
  <c r="V189" i="13"/>
  <c r="AK189" i="13"/>
  <c r="AG190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N186" i="13"/>
  <c r="N174" i="13"/>
  <c r="N162" i="13"/>
  <c r="N150" i="13"/>
  <c r="N138" i="13"/>
  <c r="N126" i="13"/>
  <c r="N114" i="13"/>
  <c r="N102" i="13"/>
  <c r="N90" i="13"/>
  <c r="N78" i="13"/>
  <c r="N66" i="13"/>
  <c r="N54" i="13"/>
  <c r="N42" i="13"/>
  <c r="N30" i="13"/>
  <c r="N18" i="13"/>
  <c r="N6" i="13"/>
  <c r="D186" i="13"/>
  <c r="K187" i="13"/>
  <c r="AI187" i="13"/>
  <c r="AB188" i="13"/>
  <c r="AC189" i="13"/>
  <c r="AL189" i="13"/>
  <c r="AF190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F186" i="13"/>
  <c r="V187" i="13"/>
  <c r="AJ187" i="13"/>
  <c r="Y188" i="13"/>
  <c r="H189" i="13"/>
  <c r="AM189" i="13"/>
  <c r="AI190" i="13"/>
  <c r="Y175" i="13"/>
  <c r="Y163" i="13"/>
  <c r="Y151" i="13"/>
  <c r="Y139" i="13"/>
  <c r="Y127" i="13"/>
  <c r="Y115" i="13"/>
  <c r="Y103" i="13"/>
  <c r="Y91" i="13"/>
  <c r="Y79" i="13"/>
  <c r="Y67" i="13"/>
  <c r="Y55" i="13"/>
  <c r="Y43" i="13"/>
  <c r="Y31" i="13"/>
  <c r="Y19" i="13"/>
  <c r="Y7" i="13"/>
  <c r="N184" i="13"/>
  <c r="N172" i="13"/>
  <c r="N160" i="13"/>
  <c r="N148" i="13"/>
  <c r="N136" i="13"/>
  <c r="N124" i="13"/>
  <c r="N112" i="13"/>
  <c r="N100" i="13"/>
  <c r="N88" i="13"/>
  <c r="N76" i="13"/>
  <c r="N64" i="13"/>
  <c r="N52" i="13"/>
  <c r="N40" i="13"/>
  <c r="N28" i="13"/>
  <c r="N16" i="13"/>
  <c r="N4" i="13"/>
  <c r="AB186" i="13"/>
  <c r="AC187" i="13"/>
  <c r="AK187" i="13"/>
  <c r="P188" i="13"/>
  <c r="D189" i="13"/>
  <c r="K190" i="13"/>
  <c r="AJ190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L25" i="36"/>
  <c r="M25" i="36" s="1"/>
  <c r="I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I175" i="13"/>
  <c r="N19" i="36"/>
  <c r="O19" i="36" s="1"/>
  <c r="N49" i="36"/>
  <c r="O49" i="36" s="1"/>
  <c r="N68" i="36"/>
  <c r="O68" i="36" s="1"/>
  <c r="I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I174" i="13"/>
  <c r="L191" i="36"/>
  <c r="M191" i="36" s="1"/>
  <c r="N121" i="36"/>
  <c r="O121" i="36" s="1"/>
  <c r="N131" i="36"/>
  <c r="O131" i="36" s="1"/>
  <c r="L148" i="36"/>
  <c r="N148" i="36" s="1"/>
  <c r="O148" i="36" s="1"/>
  <c r="I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I169" i="13"/>
  <c r="I180" i="13"/>
  <c r="I164" i="13"/>
  <c r="I156" i="13"/>
  <c r="I165" i="13"/>
  <c r="I154" i="13"/>
  <c r="I181" i="13"/>
  <c r="I166" i="13"/>
  <c r="N26" i="36"/>
  <c r="O26" i="36" s="1"/>
  <c r="N39" i="36"/>
  <c r="O39" i="36" s="1"/>
  <c r="N88" i="36"/>
  <c r="O88" i="36" s="1"/>
  <c r="N95" i="36"/>
  <c r="O95" i="36" s="1"/>
  <c r="N167" i="36"/>
  <c r="O167" i="36" s="1"/>
  <c r="I176" i="13"/>
  <c r="I183" i="13"/>
  <c r="I162" i="13"/>
  <c r="I151" i="13"/>
  <c r="I153" i="13"/>
  <c r="I158" i="13"/>
  <c r="N104" i="36"/>
  <c r="O104" i="36" s="1"/>
  <c r="N125" i="36"/>
  <c r="O125" i="36" s="1"/>
  <c r="L76" i="36"/>
  <c r="M76" i="36" s="1"/>
  <c r="I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I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I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I159" i="13"/>
  <c r="L15" i="36"/>
  <c r="M15" i="36" s="1"/>
  <c r="I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I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I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B185" i="13"/>
  <c r="AB184" i="13"/>
  <c r="AB172" i="13"/>
  <c r="AB160" i="13"/>
  <c r="AB148" i="13"/>
  <c r="AB136" i="13"/>
  <c r="AB124" i="13"/>
  <c r="AB112" i="13"/>
  <c r="AB100" i="13"/>
  <c r="AB88" i="13"/>
  <c r="AB76" i="13"/>
  <c r="AB64" i="13"/>
  <c r="AB52" i="13"/>
  <c r="AB40" i="13"/>
  <c r="AB28" i="13"/>
  <c r="AB16" i="13"/>
  <c r="AB4" i="13"/>
  <c r="AJ185" i="13"/>
  <c r="AB171" i="13"/>
  <c r="AB159" i="13"/>
  <c r="AB147" i="13"/>
  <c r="AB135" i="13"/>
  <c r="AB123" i="13"/>
  <c r="AB111" i="13"/>
  <c r="AB99" i="13"/>
  <c r="AB87" i="13"/>
  <c r="AB75" i="13"/>
  <c r="AB63" i="13"/>
  <c r="AB51" i="13"/>
  <c r="AB39" i="13"/>
  <c r="AB27" i="13"/>
  <c r="AB15" i="13"/>
  <c r="AG185" i="13"/>
  <c r="AK185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K185" i="13"/>
  <c r="AL185" i="13"/>
  <c r="AB169" i="13"/>
  <c r="AB157" i="13"/>
  <c r="AB145" i="13"/>
  <c r="AB133" i="13"/>
  <c r="AB121" i="13"/>
  <c r="AB109" i="13"/>
  <c r="AB97" i="13"/>
  <c r="AB85" i="13"/>
  <c r="AB73" i="13"/>
  <c r="AB61" i="13"/>
  <c r="AB49" i="13"/>
  <c r="AB37" i="13"/>
  <c r="AB25" i="13"/>
  <c r="AB13" i="13"/>
  <c r="V185" i="13"/>
  <c r="AM185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AC185" i="13"/>
  <c r="AB167" i="13"/>
  <c r="AB155" i="13"/>
  <c r="AB143" i="13"/>
  <c r="AB131" i="13"/>
  <c r="AB119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49" i="13"/>
  <c r="AB125" i="13"/>
  <c r="AB102" i="13"/>
  <c r="AB80" i="13"/>
  <c r="AB58" i="13"/>
  <c r="AB41" i="13"/>
  <c r="AB19" i="13"/>
  <c r="P185" i="13"/>
  <c r="AB142" i="13"/>
  <c r="AB118" i="13"/>
  <c r="AB101" i="13"/>
  <c r="AB79" i="13"/>
  <c r="AB57" i="13"/>
  <c r="AB35" i="13"/>
  <c r="AB18" i="13"/>
  <c r="AB165" i="13"/>
  <c r="AB141" i="13"/>
  <c r="AB117" i="13"/>
  <c r="AB95" i="13"/>
  <c r="AB56" i="13"/>
  <c r="AB34" i="13"/>
  <c r="AF185" i="13"/>
  <c r="AB164" i="13"/>
  <c r="AB116" i="13"/>
  <c r="AB77" i="13"/>
  <c r="AB55" i="13"/>
  <c r="AB11" i="13"/>
  <c r="AB163" i="13"/>
  <c r="AB115" i="13"/>
  <c r="AB71" i="13"/>
  <c r="AB54" i="13"/>
  <c r="AB10" i="13"/>
  <c r="AB162" i="13"/>
  <c r="AB114" i="13"/>
  <c r="AB92" i="13"/>
  <c r="AB53" i="13"/>
  <c r="AB9" i="13"/>
  <c r="AB137" i="13"/>
  <c r="AB113" i="13"/>
  <c r="AB69" i="13"/>
  <c r="AB30" i="13"/>
  <c r="AB8" i="13"/>
  <c r="AB107" i="13"/>
  <c r="AB68" i="13"/>
  <c r="AB29" i="13"/>
  <c r="AB153" i="13"/>
  <c r="AB106" i="13"/>
  <c r="AB67" i="13"/>
  <c r="AB45" i="13"/>
  <c r="AB6" i="13"/>
  <c r="AB128" i="13"/>
  <c r="AB105" i="13"/>
  <c r="AB66" i="13"/>
  <c r="AB22" i="13"/>
  <c r="AB5" i="13"/>
  <c r="AB151" i="13"/>
  <c r="AB127" i="13"/>
  <c r="AB104" i="13"/>
  <c r="AB82" i="13"/>
  <c r="AB43" i="13"/>
  <c r="AB21" i="13"/>
  <c r="H185" i="13"/>
  <c r="AB150" i="13"/>
  <c r="AB126" i="13"/>
  <c r="AB103" i="13"/>
  <c r="AB81" i="13"/>
  <c r="AB59" i="13"/>
  <c r="AB20" i="13"/>
  <c r="D185" i="13"/>
  <c r="AB166" i="13"/>
  <c r="F185" i="13"/>
  <c r="AB78" i="13"/>
  <c r="AB17" i="13"/>
  <c r="AB140" i="13"/>
  <c r="AB94" i="13"/>
  <c r="AB33" i="13"/>
  <c r="AB139" i="13"/>
  <c r="AB93" i="13"/>
  <c r="AB32" i="13"/>
  <c r="AI185" i="13"/>
  <c r="AB138" i="13"/>
  <c r="AB70" i="13"/>
  <c r="AB31" i="13"/>
  <c r="AB161" i="13"/>
  <c r="AB91" i="13"/>
  <c r="AB47" i="13"/>
  <c r="AB154" i="13"/>
  <c r="AB130" i="13"/>
  <c r="AB90" i="13"/>
  <c r="AB46" i="13"/>
  <c r="AB7" i="13"/>
  <c r="AB129" i="13"/>
  <c r="AB89" i="13"/>
  <c r="AB23" i="13"/>
  <c r="AB152" i="13"/>
  <c r="AB83" i="13"/>
  <c r="AB44" i="13"/>
  <c r="AB65" i="13"/>
  <c r="AB42" i="13"/>
  <c r="AG184" i="13"/>
  <c r="AM184" i="13"/>
  <c r="K184" i="13"/>
  <c r="V184" i="13"/>
  <c r="AC184" i="13"/>
  <c r="H184" i="13"/>
  <c r="D184" i="13"/>
  <c r="P184" i="13"/>
  <c r="F184" i="13"/>
  <c r="AF184" i="13"/>
  <c r="AK184" i="13"/>
  <c r="AI184" i="13"/>
  <c r="AL184" i="13"/>
  <c r="AJ184" i="13"/>
  <c r="E5" i="36"/>
  <c r="H3" i="36" s="1"/>
  <c r="H4" i="36" s="1"/>
  <c r="H5" i="36" s="1"/>
  <c r="D19" i="13"/>
  <c r="AJ13" i="13"/>
  <c r="AM31" i="13"/>
  <c r="AM35" i="13"/>
  <c r="D25" i="13"/>
  <c r="AC42" i="13"/>
  <c r="AG8" i="13"/>
  <c r="P51" i="13"/>
  <c r="AM20" i="13"/>
  <c r="AI71" i="13"/>
  <c r="AI18" i="13"/>
  <c r="P14" i="13"/>
  <c r="H64" i="13"/>
  <c r="F86" i="13"/>
  <c r="AK8" i="13"/>
  <c r="K20" i="13"/>
  <c r="F4" i="13"/>
  <c r="F9" i="13"/>
  <c r="K15" i="13"/>
  <c r="AL121" i="13"/>
  <c r="AJ27" i="13"/>
  <c r="AL15" i="13"/>
  <c r="AM47" i="13"/>
  <c r="AK57" i="13"/>
  <c r="V10" i="13"/>
  <c r="AC5" i="13"/>
  <c r="AF16" i="13"/>
  <c r="AJ21" i="13"/>
  <c r="AC68" i="13"/>
  <c r="P30" i="13"/>
  <c r="AC17" i="13"/>
  <c r="F23" i="13"/>
  <c r="AM10" i="13"/>
  <c r="H61" i="13"/>
  <c r="AI6" i="13"/>
  <c r="H12" i="13"/>
  <c r="D7" i="13"/>
  <c r="P24" i="13"/>
  <c r="K4" i="36"/>
  <c r="AG13" i="13"/>
  <c r="AK21" i="13"/>
  <c r="AL57" i="13"/>
  <c r="D5" i="13"/>
  <c r="AG6" i="13"/>
  <c r="AK6" i="13"/>
  <c r="F7" i="13"/>
  <c r="V8" i="13"/>
  <c r="AM8" i="13"/>
  <c r="H10" i="13"/>
  <c r="AJ11" i="13"/>
  <c r="P12" i="13"/>
  <c r="K13" i="13"/>
  <c r="AL13" i="13"/>
  <c r="AF14" i="13"/>
  <c r="AC15" i="13"/>
  <c r="AI16" i="13"/>
  <c r="D17" i="13"/>
  <c r="AG18" i="13"/>
  <c r="AK18" i="13"/>
  <c r="F19" i="13"/>
  <c r="AC20" i="13"/>
  <c r="AL21" i="13"/>
  <c r="AJ22" i="13"/>
  <c r="AI23" i="13"/>
  <c r="AF24" i="13"/>
  <c r="AF25" i="13"/>
  <c r="AK26" i="13"/>
  <c r="H29" i="13"/>
  <c r="P32" i="13"/>
  <c r="F34" i="13"/>
  <c r="AG36" i="13"/>
  <c r="AG38" i="13"/>
  <c r="K40" i="13"/>
  <c r="P42" i="13"/>
  <c r="K45" i="13"/>
  <c r="F58" i="13"/>
  <c r="AF72" i="13"/>
  <c r="AC76" i="13"/>
  <c r="AF81" i="13"/>
  <c r="AJ103" i="13"/>
  <c r="K8" i="13"/>
  <c r="AM15" i="13"/>
  <c r="F24" i="13"/>
  <c r="H68" i="13"/>
  <c r="AI4" i="13"/>
  <c r="P5" i="13"/>
  <c r="K6" i="13"/>
  <c r="AL6" i="13"/>
  <c r="AF7" i="13"/>
  <c r="AC8" i="13"/>
  <c r="AI9" i="13"/>
  <c r="D10" i="13"/>
  <c r="AG11" i="13"/>
  <c r="AK11" i="13"/>
  <c r="F12" i="13"/>
  <c r="V13" i="13"/>
  <c r="AM13" i="13"/>
  <c r="H15" i="13"/>
  <c r="AJ16" i="13"/>
  <c r="P17" i="13"/>
  <c r="K18" i="13"/>
  <c r="AL18" i="13"/>
  <c r="AF19" i="13"/>
  <c r="H20" i="13"/>
  <c r="AG21" i="13"/>
  <c r="AK22" i="13"/>
  <c r="AJ23" i="13"/>
  <c r="AM26" i="13"/>
  <c r="K28" i="13"/>
  <c r="P29" i="13"/>
  <c r="AJ30" i="13"/>
  <c r="AF32" i="13"/>
  <c r="AF34" i="13"/>
  <c r="K36" i="13"/>
  <c r="V38" i="13"/>
  <c r="V40" i="13"/>
  <c r="AI48" i="13"/>
  <c r="K52" i="13"/>
  <c r="AF58" i="13"/>
  <c r="AG65" i="13"/>
  <c r="AG69" i="13"/>
  <c r="AG88" i="13"/>
  <c r="K104" i="13"/>
  <c r="AF4" i="13"/>
  <c r="AI11" i="13"/>
  <c r="V20" i="13"/>
  <c r="AG45" i="13"/>
  <c r="AJ4" i="13"/>
  <c r="F5" i="13"/>
  <c r="V6" i="13"/>
  <c r="AM6" i="13"/>
  <c r="H8" i="13"/>
  <c r="AJ9" i="13"/>
  <c r="P10" i="13"/>
  <c r="K11" i="13"/>
  <c r="AL11" i="13"/>
  <c r="AF12" i="13"/>
  <c r="AC13" i="13"/>
  <c r="AI14" i="13"/>
  <c r="D15" i="13"/>
  <c r="AG16" i="13"/>
  <c r="AK16" i="13"/>
  <c r="F17" i="13"/>
  <c r="V18" i="13"/>
  <c r="AM18" i="13"/>
  <c r="D20" i="13"/>
  <c r="K21" i="13"/>
  <c r="AK23" i="13"/>
  <c r="AI24" i="13"/>
  <c r="AK25" i="13"/>
  <c r="V28" i="13"/>
  <c r="AF29" i="13"/>
  <c r="AC38" i="13"/>
  <c r="H40" i="13"/>
  <c r="AK45" i="13"/>
  <c r="H49" i="13"/>
  <c r="V52" i="13"/>
  <c r="AI55" i="13"/>
  <c r="AG62" i="13"/>
  <c r="K69" i="13"/>
  <c r="P73" i="13"/>
  <c r="P77" i="13"/>
  <c r="V88" i="13"/>
  <c r="F131" i="13"/>
  <c r="AM113" i="13"/>
  <c r="F110" i="13"/>
  <c r="AK106" i="13"/>
  <c r="D100" i="13"/>
  <c r="AF96" i="13"/>
  <c r="H93" i="13"/>
  <c r="AM87" i="13"/>
  <c r="AG86" i="13"/>
  <c r="D84" i="13"/>
  <c r="K81" i="13"/>
  <c r="AI79" i="13"/>
  <c r="D78" i="13"/>
  <c r="H77" i="13"/>
  <c r="K76" i="13"/>
  <c r="AC75" i="13"/>
  <c r="V74" i="13"/>
  <c r="D73" i="13"/>
  <c r="F72" i="13"/>
  <c r="AI70" i="13"/>
  <c r="AL69" i="13"/>
  <c r="V68" i="13"/>
  <c r="D67" i="13"/>
  <c r="F66" i="13"/>
  <c r="AJ65" i="13"/>
  <c r="V64" i="13"/>
  <c r="P63" i="13"/>
  <c r="AI62" i="13"/>
  <c r="AC61" i="13"/>
  <c r="AF60" i="13"/>
  <c r="AL59" i="13"/>
  <c r="K59" i="13"/>
  <c r="P58" i="13"/>
  <c r="AJ57" i="13"/>
  <c r="H56" i="13"/>
  <c r="AM54" i="13"/>
  <c r="V54" i="13"/>
  <c r="F53" i="13"/>
  <c r="AK52" i="13"/>
  <c r="AG52" i="13"/>
  <c r="D51" i="13"/>
  <c r="AI50" i="13"/>
  <c r="AC49" i="13"/>
  <c r="AF48" i="13"/>
  <c r="AL47" i="13"/>
  <c r="K47" i="13"/>
  <c r="P46" i="13"/>
  <c r="AJ45" i="13"/>
  <c r="H44" i="13"/>
  <c r="AM42" i="13"/>
  <c r="V42" i="13"/>
  <c r="F41" i="13"/>
  <c r="AK40" i="13"/>
  <c r="AG40" i="13"/>
  <c r="D39" i="13"/>
  <c r="AI38" i="13"/>
  <c r="AC37" i="13"/>
  <c r="AF36" i="13"/>
  <c r="AL35" i="13"/>
  <c r="K35" i="13"/>
  <c r="P34" i="13"/>
  <c r="AJ33" i="13"/>
  <c r="H32" i="13"/>
  <c r="AM30" i="13"/>
  <c r="V30" i="13"/>
  <c r="F29" i="13"/>
  <c r="AK28" i="13"/>
  <c r="AG28" i="13"/>
  <c r="D27" i="13"/>
  <c r="AI26" i="13"/>
  <c r="AC25" i="13"/>
  <c r="D136" i="13"/>
  <c r="AJ130" i="13"/>
  <c r="F121" i="13"/>
  <c r="P117" i="13"/>
  <c r="AG110" i="13"/>
  <c r="P103" i="13"/>
  <c r="AM99" i="13"/>
  <c r="K96" i="13"/>
  <c r="AK89" i="13"/>
  <c r="AI87" i="13"/>
  <c r="K84" i="13"/>
  <c r="AF82" i="13"/>
  <c r="AG81" i="13"/>
  <c r="H78" i="13"/>
  <c r="AG77" i="13"/>
  <c r="AG76" i="13"/>
  <c r="V75" i="13"/>
  <c r="K74" i="13"/>
  <c r="H73" i="13"/>
  <c r="P72" i="13"/>
  <c r="P71" i="13"/>
  <c r="AK69" i="13"/>
  <c r="K68" i="13"/>
  <c r="V67" i="13"/>
  <c r="P66" i="13"/>
  <c r="AI65" i="13"/>
  <c r="AM64" i="13"/>
  <c r="K64" i="13"/>
  <c r="D63" i="13"/>
  <c r="AM61" i="13"/>
  <c r="V61" i="13"/>
  <c r="F60" i="13"/>
  <c r="AK59" i="13"/>
  <c r="AG59" i="13"/>
  <c r="D58" i="13"/>
  <c r="AI57" i="13"/>
  <c r="AC56" i="13"/>
  <c r="AF55" i="13"/>
  <c r="AL54" i="13"/>
  <c r="K54" i="13"/>
  <c r="P53" i="13"/>
  <c r="AJ52" i="13"/>
  <c r="H51" i="13"/>
  <c r="AM49" i="13"/>
  <c r="V49" i="13"/>
  <c r="F48" i="13"/>
  <c r="AK47" i="13"/>
  <c r="AG47" i="13"/>
  <c r="D46" i="13"/>
  <c r="AI45" i="13"/>
  <c r="AC44" i="13"/>
  <c r="AF43" i="13"/>
  <c r="AL42" i="13"/>
  <c r="K42" i="13"/>
  <c r="P41" i="13"/>
  <c r="AJ40" i="13"/>
  <c r="H39" i="13"/>
  <c r="AM37" i="13"/>
  <c r="V37" i="13"/>
  <c r="F36" i="13"/>
  <c r="AK35" i="13"/>
  <c r="AG35" i="13"/>
  <c r="D34" i="13"/>
  <c r="AI33" i="13"/>
  <c r="AC32" i="13"/>
  <c r="AF31" i="13"/>
  <c r="AL30" i="13"/>
  <c r="V125" i="13"/>
  <c r="AL120" i="13"/>
  <c r="AL116" i="13"/>
  <c r="D113" i="13"/>
  <c r="AI109" i="13"/>
  <c r="F106" i="13"/>
  <c r="AL95" i="13"/>
  <c r="AK85" i="13"/>
  <c r="F82" i="13"/>
  <c r="P79" i="13"/>
  <c r="AC78" i="13"/>
  <c r="AG74" i="13"/>
  <c r="AC73" i="13"/>
  <c r="D72" i="13"/>
  <c r="D71" i="13"/>
  <c r="AF70" i="13"/>
  <c r="AJ69" i="13"/>
  <c r="AM68" i="13"/>
  <c r="AG68" i="13"/>
  <c r="K67" i="13"/>
  <c r="D66" i="13"/>
  <c r="AL64" i="13"/>
  <c r="AG64" i="13"/>
  <c r="H63" i="13"/>
  <c r="AF62" i="13"/>
  <c r="AL61" i="13"/>
  <c r="K61" i="13"/>
  <c r="P60" i="13"/>
  <c r="AJ59" i="13"/>
  <c r="H58" i="13"/>
  <c r="AM56" i="13"/>
  <c r="V56" i="13"/>
  <c r="F55" i="13"/>
  <c r="AK54" i="13"/>
  <c r="AG54" i="13"/>
  <c r="D53" i="13"/>
  <c r="AI52" i="13"/>
  <c r="AC51" i="13"/>
  <c r="AF50" i="13"/>
  <c r="AL49" i="13"/>
  <c r="K49" i="13"/>
  <c r="P48" i="13"/>
  <c r="AJ47" i="13"/>
  <c r="H46" i="13"/>
  <c r="AM44" i="13"/>
  <c r="V44" i="13"/>
  <c r="F43" i="13"/>
  <c r="AK42" i="13"/>
  <c r="AG42" i="13"/>
  <c r="D41" i="13"/>
  <c r="AI40" i="13"/>
  <c r="AC39" i="13"/>
  <c r="AF38" i="13"/>
  <c r="AL37" i="13"/>
  <c r="K37" i="13"/>
  <c r="P36" i="13"/>
  <c r="AJ35" i="13"/>
  <c r="H34" i="13"/>
  <c r="AM32" i="13"/>
  <c r="V32" i="13"/>
  <c r="F31" i="13"/>
  <c r="AK30" i="13"/>
  <c r="AG30" i="13"/>
  <c r="D29" i="13"/>
  <c r="AI28" i="13"/>
  <c r="AC27" i="13"/>
  <c r="AF26" i="13"/>
  <c r="AL25" i="13"/>
  <c r="V149" i="13"/>
  <c r="P141" i="13"/>
  <c r="K135" i="13"/>
  <c r="K130" i="13"/>
  <c r="AI124" i="13"/>
  <c r="AG113" i="13"/>
  <c r="AI102" i="13"/>
  <c r="K99" i="13"/>
  <c r="H92" i="13"/>
  <c r="F89" i="13"/>
  <c r="F87" i="13"/>
  <c r="AL83" i="13"/>
  <c r="P82" i="13"/>
  <c r="AL80" i="13"/>
  <c r="V79" i="13"/>
  <c r="V78" i="13"/>
  <c r="AM76" i="13"/>
  <c r="AM74" i="13"/>
  <c r="V73" i="13"/>
  <c r="K72" i="13"/>
  <c r="H71" i="13"/>
  <c r="F70" i="13"/>
  <c r="AI69" i="13"/>
  <c r="AL68" i="13"/>
  <c r="AM67" i="13"/>
  <c r="AG67" i="13"/>
  <c r="H66" i="13"/>
  <c r="AF65" i="13"/>
  <c r="AK64" i="13"/>
  <c r="AC63" i="13"/>
  <c r="F62" i="13"/>
  <c r="AK61" i="13"/>
  <c r="AG61" i="13"/>
  <c r="D60" i="13"/>
  <c r="AI59" i="13"/>
  <c r="AC58" i="13"/>
  <c r="AF57" i="13"/>
  <c r="AL56" i="13"/>
  <c r="K56" i="13"/>
  <c r="P55" i="13"/>
  <c r="AJ54" i="13"/>
  <c r="H53" i="13"/>
  <c r="AM51" i="13"/>
  <c r="V51" i="13"/>
  <c r="F50" i="13"/>
  <c r="AK49" i="13"/>
  <c r="AG49" i="13"/>
  <c r="D48" i="13"/>
  <c r="AI47" i="13"/>
  <c r="AC46" i="13"/>
  <c r="AF45" i="13"/>
  <c r="AL44" i="13"/>
  <c r="K44" i="13"/>
  <c r="P43" i="13"/>
  <c r="AJ42" i="13"/>
  <c r="H41" i="13"/>
  <c r="AM39" i="13"/>
  <c r="V39" i="13"/>
  <c r="F38" i="13"/>
  <c r="AK37" i="13"/>
  <c r="AG37" i="13"/>
  <c r="D36" i="13"/>
  <c r="AI35" i="13"/>
  <c r="AC34" i="13"/>
  <c r="AF33" i="13"/>
  <c r="AL32" i="13"/>
  <c r="K32" i="13"/>
  <c r="P31" i="13"/>
  <c r="H177" i="13"/>
  <c r="P120" i="13"/>
  <c r="AF116" i="13"/>
  <c r="K109" i="13"/>
  <c r="AI105" i="13"/>
  <c r="AL98" i="13"/>
  <c r="P95" i="13"/>
  <c r="AM91" i="13"/>
  <c r="H89" i="13"/>
  <c r="D87" i="13"/>
  <c r="AF85" i="13"/>
  <c r="AI83" i="13"/>
  <c r="AC82" i="13"/>
  <c r="AG79" i="13"/>
  <c r="K78" i="13"/>
  <c r="AL76" i="13"/>
  <c r="AM75" i="13"/>
  <c r="AL74" i="13"/>
  <c r="K73" i="13"/>
  <c r="AG72" i="13"/>
  <c r="AC71" i="13"/>
  <c r="P70" i="13"/>
  <c r="AK68" i="13"/>
  <c r="AL67" i="13"/>
  <c r="AC66" i="13"/>
  <c r="F65" i="13"/>
  <c r="AJ64" i="13"/>
  <c r="V63" i="13"/>
  <c r="P62" i="13"/>
  <c r="AJ61" i="13"/>
  <c r="H60" i="13"/>
  <c r="AM58" i="13"/>
  <c r="V58" i="13"/>
  <c r="F57" i="13"/>
  <c r="AK56" i="13"/>
  <c r="AG56" i="13"/>
  <c r="D55" i="13"/>
  <c r="AI54" i="13"/>
  <c r="AC53" i="13"/>
  <c r="AF52" i="13"/>
  <c r="AL51" i="13"/>
  <c r="K51" i="13"/>
  <c r="P50" i="13"/>
  <c r="AJ49" i="13"/>
  <c r="H48" i="13"/>
  <c r="AM46" i="13"/>
  <c r="V46" i="13"/>
  <c r="F45" i="13"/>
  <c r="AK44" i="13"/>
  <c r="AG44" i="13"/>
  <c r="D43" i="13"/>
  <c r="AI42" i="13"/>
  <c r="AC41" i="13"/>
  <c r="AF40" i="13"/>
  <c r="AL39" i="13"/>
  <c r="K39" i="13"/>
  <c r="P38" i="13"/>
  <c r="AJ37" i="13"/>
  <c r="H36" i="13"/>
  <c r="AM34" i="13"/>
  <c r="V34" i="13"/>
  <c r="F33" i="13"/>
  <c r="AK32" i="13"/>
  <c r="AG32" i="13"/>
  <c r="D31" i="13"/>
  <c r="AI30" i="13"/>
  <c r="AC29" i="13"/>
  <c r="AF28" i="13"/>
  <c r="AL27" i="13"/>
  <c r="K27" i="13"/>
  <c r="P26" i="13"/>
  <c r="AJ25" i="13"/>
  <c r="H24" i="13"/>
  <c r="AM22" i="13"/>
  <c r="V22" i="13"/>
  <c r="F21" i="13"/>
  <c r="AK20" i="13"/>
  <c r="AG20" i="13"/>
  <c r="P134" i="13"/>
  <c r="D129" i="13"/>
  <c r="V124" i="13"/>
  <c r="AK119" i="13"/>
  <c r="AF112" i="13"/>
  <c r="AL108" i="13"/>
  <c r="AC102" i="13"/>
  <c r="K95" i="13"/>
  <c r="AG89" i="13"/>
  <c r="V87" i="13"/>
  <c r="D85" i="13"/>
  <c r="P80" i="13"/>
  <c r="AK76" i="13"/>
  <c r="AI75" i="13"/>
  <c r="AK74" i="13"/>
  <c r="AM73" i="13"/>
  <c r="AG73" i="13"/>
  <c r="V71" i="13"/>
  <c r="D70" i="13"/>
  <c r="AF69" i="13"/>
  <c r="AK67" i="13"/>
  <c r="V66" i="13"/>
  <c r="P65" i="13"/>
  <c r="AI64" i="13"/>
  <c r="AM63" i="13"/>
  <c r="K63" i="13"/>
  <c r="D62" i="13"/>
  <c r="AI61" i="13"/>
  <c r="AC60" i="13"/>
  <c r="AF59" i="13"/>
  <c r="AL58" i="13"/>
  <c r="K58" i="13"/>
  <c r="P57" i="13"/>
  <c r="AJ56" i="13"/>
  <c r="H55" i="13"/>
  <c r="AM53" i="13"/>
  <c r="V53" i="13"/>
  <c r="F52" i="13"/>
  <c r="AK51" i="13"/>
  <c r="AG51" i="13"/>
  <c r="D50" i="13"/>
  <c r="AI49" i="13"/>
  <c r="AC48" i="13"/>
  <c r="AF47" i="13"/>
  <c r="AL46" i="13"/>
  <c r="K46" i="13"/>
  <c r="P45" i="13"/>
  <c r="AJ44" i="13"/>
  <c r="H43" i="13"/>
  <c r="AM41" i="13"/>
  <c r="V41" i="13"/>
  <c r="F40" i="13"/>
  <c r="AK39" i="13"/>
  <c r="AG39" i="13"/>
  <c r="D38" i="13"/>
  <c r="AI37" i="13"/>
  <c r="AC36" i="13"/>
  <c r="AF35" i="13"/>
  <c r="AL34" i="13"/>
  <c r="K34" i="13"/>
  <c r="P33" i="13"/>
  <c r="AJ32" i="13"/>
  <c r="H31" i="13"/>
  <c r="AM29" i="13"/>
  <c r="V29" i="13"/>
  <c r="F28" i="13"/>
  <c r="AK27" i="13"/>
  <c r="AG27" i="13"/>
  <c r="D26" i="13"/>
  <c r="AI25" i="13"/>
  <c r="AC24" i="13"/>
  <c r="AF23" i="13"/>
  <c r="AL22" i="13"/>
  <c r="K22" i="13"/>
  <c r="AF166" i="13"/>
  <c r="AG147" i="13"/>
  <c r="AJ128" i="13"/>
  <c r="AI123" i="13"/>
  <c r="AC112" i="13"/>
  <c r="AC105" i="13"/>
  <c r="AM101" i="13"/>
  <c r="D98" i="13"/>
  <c r="AJ94" i="13"/>
  <c r="V91" i="13"/>
  <c r="AM88" i="13"/>
  <c r="AC85" i="13"/>
  <c r="P83" i="13"/>
  <c r="AL81" i="13"/>
  <c r="D80" i="13"/>
  <c r="AK77" i="13"/>
  <c r="AJ76" i="13"/>
  <c r="AJ74" i="13"/>
  <c r="AL73" i="13"/>
  <c r="AL72" i="13"/>
  <c r="K71" i="13"/>
  <c r="H70" i="13"/>
  <c r="F69" i="13"/>
  <c r="AF68" i="13"/>
  <c r="AJ67" i="13"/>
  <c r="AM66" i="13"/>
  <c r="K66" i="13"/>
  <c r="D65" i="13"/>
  <c r="AL63" i="13"/>
  <c r="H62" i="13"/>
  <c r="AM60" i="13"/>
  <c r="V60" i="13"/>
  <c r="F59" i="13"/>
  <c r="AK58" i="13"/>
  <c r="AG58" i="13"/>
  <c r="D57" i="13"/>
  <c r="AI56" i="13"/>
  <c r="AC55" i="13"/>
  <c r="AF54" i="13"/>
  <c r="AL53" i="13"/>
  <c r="K53" i="13"/>
  <c r="P52" i="13"/>
  <c r="AJ51" i="13"/>
  <c r="H50" i="13"/>
  <c r="AM48" i="13"/>
  <c r="V48" i="13"/>
  <c r="F47" i="13"/>
  <c r="AK46" i="13"/>
  <c r="AG46" i="13"/>
  <c r="D45" i="13"/>
  <c r="AI44" i="13"/>
  <c r="AC43" i="13"/>
  <c r="AF42" i="13"/>
  <c r="AL41" i="13"/>
  <c r="K41" i="13"/>
  <c r="P40" i="13"/>
  <c r="AJ39" i="13"/>
  <c r="H38" i="13"/>
  <c r="AM36" i="13"/>
  <c r="V36" i="13"/>
  <c r="F35" i="13"/>
  <c r="AK34" i="13"/>
  <c r="AG34" i="13"/>
  <c r="D33" i="13"/>
  <c r="AI32" i="13"/>
  <c r="AC31" i="13"/>
  <c r="AF30" i="13"/>
  <c r="AL29" i="13"/>
  <c r="K29" i="13"/>
  <c r="V139" i="13"/>
  <c r="AF133" i="13"/>
  <c r="P119" i="13"/>
  <c r="AF115" i="13"/>
  <c r="AJ111" i="13"/>
  <c r="D108" i="13"/>
  <c r="AM104" i="13"/>
  <c r="AG98" i="13"/>
  <c r="AM90" i="13"/>
  <c r="AK88" i="13"/>
  <c r="AK86" i="13"/>
  <c r="AG85" i="13"/>
  <c r="AC83" i="13"/>
  <c r="AK81" i="13"/>
  <c r="H80" i="13"/>
  <c r="AM78" i="13"/>
  <c r="AI77" i="13"/>
  <c r="AI76" i="13"/>
  <c r="AF75" i="13"/>
  <c r="AI74" i="13"/>
  <c r="AK73" i="13"/>
  <c r="AK72" i="13"/>
  <c r="AM71" i="13"/>
  <c r="AG71" i="13"/>
  <c r="AC70" i="13"/>
  <c r="H69" i="13"/>
  <c r="F68" i="13"/>
  <c r="AI67" i="13"/>
  <c r="AL66" i="13"/>
  <c r="AG66" i="13"/>
  <c r="H65" i="13"/>
  <c r="AF64" i="13"/>
  <c r="AJ63" i="13"/>
  <c r="AC62" i="13"/>
  <c r="AF61" i="13"/>
  <c r="AL60" i="13"/>
  <c r="K60" i="13"/>
  <c r="P59" i="13"/>
  <c r="AJ58" i="13"/>
  <c r="H57" i="13"/>
  <c r="AM55" i="13"/>
  <c r="V55" i="13"/>
  <c r="F54" i="13"/>
  <c r="AK53" i="13"/>
  <c r="AG53" i="13"/>
  <c r="D52" i="13"/>
  <c r="AI51" i="13"/>
  <c r="AC50" i="13"/>
  <c r="AF49" i="13"/>
  <c r="AL48" i="13"/>
  <c r="K48" i="13"/>
  <c r="P47" i="13"/>
  <c r="AJ46" i="13"/>
  <c r="H45" i="13"/>
  <c r="AM43" i="13"/>
  <c r="V43" i="13"/>
  <c r="F42" i="13"/>
  <c r="AK41" i="13"/>
  <c r="AG41" i="13"/>
  <c r="D40" i="13"/>
  <c r="AI153" i="13"/>
  <c r="AI145" i="13"/>
  <c r="AL132" i="13"/>
  <c r="AK118" i="13"/>
  <c r="K115" i="13"/>
  <c r="AG108" i="13"/>
  <c r="P101" i="13"/>
  <c r="P94" i="13"/>
  <c r="AJ90" i="13"/>
  <c r="AI86" i="13"/>
  <c r="AL84" i="13"/>
  <c r="V83" i="13"/>
  <c r="AJ81" i="13"/>
  <c r="K80" i="13"/>
  <c r="AL78" i="13"/>
  <c r="F75" i="13"/>
  <c r="AJ72" i="13"/>
  <c r="AL71" i="13"/>
  <c r="V70" i="13"/>
  <c r="AC69" i="13"/>
  <c r="P68" i="13"/>
  <c r="AK66" i="13"/>
  <c r="AC65" i="13"/>
  <c r="P64" i="13"/>
  <c r="AI63" i="13"/>
  <c r="AM62" i="13"/>
  <c r="V62" i="13"/>
  <c r="F61" i="13"/>
  <c r="AK60" i="13"/>
  <c r="AG60" i="13"/>
  <c r="D59" i="13"/>
  <c r="AI58" i="13"/>
  <c r="AC57" i="13"/>
  <c r="AF56" i="13"/>
  <c r="AL55" i="13"/>
  <c r="K55" i="13"/>
  <c r="P54" i="13"/>
  <c r="AJ53" i="13"/>
  <c r="H52" i="13"/>
  <c r="AM50" i="13"/>
  <c r="V50" i="13"/>
  <c r="F49" i="13"/>
  <c r="AK48" i="13"/>
  <c r="AG48" i="13"/>
  <c r="D47" i="13"/>
  <c r="AI46" i="13"/>
  <c r="AC45" i="13"/>
  <c r="AF44" i="13"/>
  <c r="AL43" i="13"/>
  <c r="AG164" i="13"/>
  <c r="H138" i="13"/>
  <c r="AJ114" i="13"/>
  <c r="H111" i="13"/>
  <c r="F104" i="13"/>
  <c r="K101" i="13"/>
  <c r="H97" i="13"/>
  <c r="D88" i="13"/>
  <c r="AI84" i="13"/>
  <c r="K83" i="13"/>
  <c r="AM79" i="13"/>
  <c r="AJ78" i="13"/>
  <c r="AF77" i="13"/>
  <c r="D76" i="13"/>
  <c r="P75" i="13"/>
  <c r="AF74" i="13"/>
  <c r="AF73" i="13"/>
  <c r="AI72" i="13"/>
  <c r="AK71" i="13"/>
  <c r="V69" i="13"/>
  <c r="D68" i="13"/>
  <c r="AF67" i="13"/>
  <c r="AJ66" i="13"/>
  <c r="K65" i="13"/>
  <c r="D64" i="13"/>
  <c r="AL62" i="13"/>
  <c r="K62" i="13"/>
  <c r="P61" i="13"/>
  <c r="AJ60" i="13"/>
  <c r="H59" i="13"/>
  <c r="AM57" i="13"/>
  <c r="V57" i="13"/>
  <c r="F56" i="13"/>
  <c r="AK55" i="13"/>
  <c r="AG55" i="13"/>
  <c r="D54" i="13"/>
  <c r="AI53" i="13"/>
  <c r="AC52" i="13"/>
  <c r="AF51" i="13"/>
  <c r="AL50" i="13"/>
  <c r="K50" i="13"/>
  <c r="P49" i="13"/>
  <c r="AJ48" i="13"/>
  <c r="H47" i="13"/>
  <c r="AM45" i="13"/>
  <c r="V45" i="13"/>
  <c r="F44" i="13"/>
  <c r="AK43" i="13"/>
  <c r="AG43" i="13"/>
  <c r="D42" i="13"/>
  <c r="AI41" i="13"/>
  <c r="AC40" i="13"/>
  <c r="AF39" i="13"/>
  <c r="AL38" i="13"/>
  <c r="K38" i="13"/>
  <c r="P37" i="13"/>
  <c r="AJ36" i="13"/>
  <c r="H35" i="13"/>
  <c r="AM33" i="13"/>
  <c r="V33" i="13"/>
  <c r="F32" i="13"/>
  <c r="AK31" i="13"/>
  <c r="AG31" i="13"/>
  <c r="D30" i="13"/>
  <c r="AI29" i="13"/>
  <c r="AC28" i="13"/>
  <c r="AF27" i="13"/>
  <c r="AL26" i="13"/>
  <c r="K26" i="13"/>
  <c r="P25" i="13"/>
  <c r="AJ24" i="13"/>
  <c r="H23" i="13"/>
  <c r="AM21" i="13"/>
  <c r="V21" i="13"/>
  <c r="AL8" i="13"/>
  <c r="AK13" i="13"/>
  <c r="AJ18" i="13"/>
  <c r="AJ26" i="13"/>
  <c r="AG29" i="13"/>
  <c r="D32" i="13"/>
  <c r="H42" i="13"/>
  <c r="V76" i="13"/>
  <c r="AM110" i="13"/>
  <c r="AG4" i="13"/>
  <c r="AK4" i="13"/>
  <c r="AF5" i="13"/>
  <c r="AC6" i="13"/>
  <c r="AI7" i="13"/>
  <c r="D8" i="13"/>
  <c r="AG9" i="13"/>
  <c r="AK9" i="13"/>
  <c r="F10" i="13"/>
  <c r="V11" i="13"/>
  <c r="AM11" i="13"/>
  <c r="H13" i="13"/>
  <c r="AJ14" i="13"/>
  <c r="P15" i="13"/>
  <c r="K16" i="13"/>
  <c r="AL16" i="13"/>
  <c r="AF17" i="13"/>
  <c r="AC18" i="13"/>
  <c r="AI19" i="13"/>
  <c r="P20" i="13"/>
  <c r="AC21" i="13"/>
  <c r="AG22" i="13"/>
  <c r="AL23" i="13"/>
  <c r="AK24" i="13"/>
  <c r="AM25" i="13"/>
  <c r="H28" i="13"/>
  <c r="AG33" i="13"/>
  <c r="AI34" i="13"/>
  <c r="AI36" i="13"/>
  <c r="AL45" i="13"/>
  <c r="D49" i="13"/>
  <c r="AJ55" i="13"/>
  <c r="V59" i="13"/>
  <c r="AK65" i="13"/>
  <c r="F73" i="13"/>
  <c r="F77" i="13"/>
  <c r="AJ82" i="13"/>
  <c r="AL96" i="13"/>
  <c r="H114" i="13"/>
  <c r="P122" i="13"/>
  <c r="K132" i="13"/>
  <c r="AF9" i="13"/>
  <c r="F14" i="13"/>
  <c r="P19" i="13"/>
  <c r="AM27" i="13"/>
  <c r="F30" i="13"/>
  <c r="AI39" i="13"/>
  <c r="D61" i="13"/>
  <c r="AJ71" i="13"/>
  <c r="AM180" i="13"/>
  <c r="K4" i="13"/>
  <c r="AL4" i="13"/>
  <c r="H6" i="13"/>
  <c r="AJ7" i="13"/>
  <c r="P8" i="13"/>
  <c r="K9" i="13"/>
  <c r="AL9" i="13"/>
  <c r="AF10" i="13"/>
  <c r="AC11" i="13"/>
  <c r="AI12" i="13"/>
  <c r="D13" i="13"/>
  <c r="AG14" i="13"/>
  <c r="AK14" i="13"/>
  <c r="F15" i="13"/>
  <c r="V16" i="13"/>
  <c r="AM16" i="13"/>
  <c r="H18" i="13"/>
  <c r="AJ19" i="13"/>
  <c r="F20" i="13"/>
  <c r="H21" i="13"/>
  <c r="AC22" i="13"/>
  <c r="AG23" i="13"/>
  <c r="AM23" i="13"/>
  <c r="AL24" i="13"/>
  <c r="V27" i="13"/>
  <c r="D28" i="13"/>
  <c r="AJ29" i="13"/>
  <c r="K31" i="13"/>
  <c r="K33" i="13"/>
  <c r="AJ34" i="13"/>
  <c r="AK36" i="13"/>
  <c r="AJ38" i="13"/>
  <c r="AL40" i="13"/>
  <c r="K43" i="13"/>
  <c r="F46" i="13"/>
  <c r="AL52" i="13"/>
  <c r="D56" i="13"/>
  <c r="AC59" i="13"/>
  <c r="AJ62" i="13"/>
  <c r="AL65" i="13"/>
  <c r="AM69" i="13"/>
  <c r="AJ6" i="13"/>
  <c r="F25" i="13"/>
  <c r="AJ93" i="13"/>
  <c r="V4" i="13"/>
  <c r="AM4" i="13"/>
  <c r="AI5" i="13"/>
  <c r="D6" i="13"/>
  <c r="AG7" i="13"/>
  <c r="AK7" i="13"/>
  <c r="F8" i="13"/>
  <c r="V9" i="13"/>
  <c r="AM9" i="13"/>
  <c r="H11" i="13"/>
  <c r="AJ12" i="13"/>
  <c r="P13" i="13"/>
  <c r="K14" i="13"/>
  <c r="AL14" i="13"/>
  <c r="AF15" i="13"/>
  <c r="AC16" i="13"/>
  <c r="AI17" i="13"/>
  <c r="D18" i="13"/>
  <c r="AG19" i="13"/>
  <c r="AK19" i="13"/>
  <c r="AF20" i="13"/>
  <c r="D21" i="13"/>
  <c r="H22" i="13"/>
  <c r="K23" i="13"/>
  <c r="AM24" i="13"/>
  <c r="AG26" i="13"/>
  <c r="H27" i="13"/>
  <c r="P28" i="13"/>
  <c r="AK29" i="13"/>
  <c r="V31" i="13"/>
  <c r="AC33" i="13"/>
  <c r="V35" i="13"/>
  <c r="AL36" i="13"/>
  <c r="AK38" i="13"/>
  <c r="AM40" i="13"/>
  <c r="AF46" i="13"/>
  <c r="AM52" i="13"/>
  <c r="P56" i="13"/>
  <c r="AK62" i="13"/>
  <c r="AC74" i="13"/>
  <c r="F78" i="13"/>
  <c r="V90" i="13"/>
  <c r="AC107" i="13"/>
  <c r="H5" i="13"/>
  <c r="D12" i="13"/>
  <c r="H17" i="13"/>
  <c r="F51" i="13"/>
  <c r="AC4" i="13"/>
  <c r="AJ5" i="13"/>
  <c r="P6" i="13"/>
  <c r="K7" i="13"/>
  <c r="AL7" i="13"/>
  <c r="AF8" i="13"/>
  <c r="AC9" i="13"/>
  <c r="AI10" i="13"/>
  <c r="D11" i="13"/>
  <c r="AG12" i="13"/>
  <c r="AK12" i="13"/>
  <c r="F13" i="13"/>
  <c r="V14" i="13"/>
  <c r="AM14" i="13"/>
  <c r="H16" i="13"/>
  <c r="AJ17" i="13"/>
  <c r="P18" i="13"/>
  <c r="K19" i="13"/>
  <c r="AL19" i="13"/>
  <c r="P21" i="13"/>
  <c r="D22" i="13"/>
  <c r="V23" i="13"/>
  <c r="AG24" i="13"/>
  <c r="AG25" i="13"/>
  <c r="V26" i="13"/>
  <c r="P27" i="13"/>
  <c r="H33" i="13"/>
  <c r="AC35" i="13"/>
  <c r="H37" i="13"/>
  <c r="AM38" i="13"/>
  <c r="AI43" i="13"/>
  <c r="AG50" i="13"/>
  <c r="AF53" i="13"/>
  <c r="AM59" i="13"/>
  <c r="F63" i="13"/>
  <c r="AI66" i="13"/>
  <c r="F74" i="13"/>
  <c r="AF84" i="13"/>
  <c r="F90" i="13"/>
  <c r="AF107" i="13"/>
  <c r="P7" i="13"/>
  <c r="V15" i="13"/>
  <c r="AI22" i="13"/>
  <c r="H81" i="13"/>
  <c r="H4" i="13"/>
  <c r="AG5" i="13"/>
  <c r="AK5" i="13"/>
  <c r="F6" i="13"/>
  <c r="V7" i="13"/>
  <c r="AM7" i="13"/>
  <c r="H9" i="13"/>
  <c r="AJ10" i="13"/>
  <c r="P11" i="13"/>
  <c r="K12" i="13"/>
  <c r="AL12" i="13"/>
  <c r="AF13" i="13"/>
  <c r="AC14" i="13"/>
  <c r="AI15" i="13"/>
  <c r="D16" i="13"/>
  <c r="AG17" i="13"/>
  <c r="AK17" i="13"/>
  <c r="F18" i="13"/>
  <c r="V19" i="13"/>
  <c r="AM19" i="13"/>
  <c r="AI20" i="13"/>
  <c r="AF21" i="13"/>
  <c r="P22" i="13"/>
  <c r="AC23" i="13"/>
  <c r="K24" i="13"/>
  <c r="K25" i="13"/>
  <c r="AC26" i="13"/>
  <c r="F27" i="13"/>
  <c r="AJ28" i="13"/>
  <c r="K30" i="13"/>
  <c r="AI31" i="13"/>
  <c r="D35" i="13"/>
  <c r="D37" i="13"/>
  <c r="AF41" i="13"/>
  <c r="AJ43" i="13"/>
  <c r="V47" i="13"/>
  <c r="AG57" i="13"/>
  <c r="AF63" i="13"/>
  <c r="P67" i="13"/>
  <c r="AJ70" i="13"/>
  <c r="AC10" i="13"/>
  <c r="K5" i="13"/>
  <c r="AF6" i="13"/>
  <c r="AC7" i="13"/>
  <c r="AI8" i="13"/>
  <c r="D9" i="13"/>
  <c r="AG10" i="13"/>
  <c r="AK10" i="13"/>
  <c r="F11" i="13"/>
  <c r="V12" i="13"/>
  <c r="AM12" i="13"/>
  <c r="H14" i="13"/>
  <c r="AJ15" i="13"/>
  <c r="P16" i="13"/>
  <c r="K17" i="13"/>
  <c r="AL17" i="13"/>
  <c r="AF18" i="13"/>
  <c r="AC19" i="13"/>
  <c r="AJ20" i="13"/>
  <c r="F22" i="13"/>
  <c r="D23" i="13"/>
  <c r="V24" i="13"/>
  <c r="V25" i="13"/>
  <c r="H26" i="13"/>
  <c r="AL28" i="13"/>
  <c r="AC30" i="13"/>
  <c r="AJ31" i="13"/>
  <c r="AK33" i="13"/>
  <c r="P35" i="13"/>
  <c r="F37" i="13"/>
  <c r="P39" i="13"/>
  <c r="D44" i="13"/>
  <c r="AC47" i="13"/>
  <c r="AJ50" i="13"/>
  <c r="AC54" i="13"/>
  <c r="K57" i="13"/>
  <c r="F67" i="13"/>
  <c r="AM70" i="13"/>
  <c r="H75" i="13"/>
  <c r="AJ79" i="13"/>
  <c r="AI100" i="13"/>
  <c r="AL117" i="13"/>
  <c r="D4" i="13"/>
  <c r="AL5" i="13"/>
  <c r="P4" i="13"/>
  <c r="V5" i="13"/>
  <c r="AM5" i="13"/>
  <c r="H7" i="13"/>
  <c r="AJ8" i="13"/>
  <c r="P9" i="13"/>
  <c r="K10" i="13"/>
  <c r="AL10" i="13"/>
  <c r="AF11" i="13"/>
  <c r="AC12" i="13"/>
  <c r="AI13" i="13"/>
  <c r="D14" i="13"/>
  <c r="AG15" i="13"/>
  <c r="AK15" i="13"/>
  <c r="F16" i="13"/>
  <c r="V17" i="13"/>
  <c r="AM17" i="13"/>
  <c r="H19" i="13"/>
  <c r="AL20" i="13"/>
  <c r="AI21" i="13"/>
  <c r="AF22" i="13"/>
  <c r="P23" i="13"/>
  <c r="D24" i="13"/>
  <c r="H25" i="13"/>
  <c r="F26" i="13"/>
  <c r="AI27" i="13"/>
  <c r="AM28" i="13"/>
  <c r="H30" i="13"/>
  <c r="AL31" i="13"/>
  <c r="AL33" i="13"/>
  <c r="AF37" i="13"/>
  <c r="F39" i="13"/>
  <c r="AJ41" i="13"/>
  <c r="P44" i="13"/>
  <c r="AK50" i="13"/>
  <c r="H54" i="13"/>
  <c r="AI60" i="13"/>
  <c r="AC64" i="13"/>
  <c r="D75" i="13"/>
  <c r="AK79" i="13"/>
  <c r="AC86" i="13"/>
  <c r="D118" i="13"/>
  <c r="D127" i="13"/>
  <c r="AG137" i="13"/>
  <c r="K182" i="13"/>
  <c r="AL180" i="13"/>
  <c r="F179" i="13"/>
  <c r="AC178" i="13"/>
  <c r="V177" i="13"/>
  <c r="K176" i="13"/>
  <c r="V175" i="13"/>
  <c r="K174" i="13"/>
  <c r="AG173" i="13"/>
  <c r="V172" i="13"/>
  <c r="H171" i="13"/>
  <c r="F170" i="13"/>
  <c r="AK169" i="13"/>
  <c r="H167" i="13"/>
  <c r="F166" i="13"/>
  <c r="AJ165" i="13"/>
  <c r="AC163" i="13"/>
  <c r="AF162" i="13"/>
  <c r="AJ161" i="13"/>
  <c r="AG160" i="13"/>
  <c r="AC159" i="13"/>
  <c r="AC157" i="13"/>
  <c r="AI156" i="13"/>
  <c r="D155" i="13"/>
  <c r="AL154" i="13"/>
  <c r="K154" i="13"/>
  <c r="D152" i="13"/>
  <c r="AL151" i="13"/>
  <c r="K151" i="13"/>
  <c r="AF150" i="13"/>
  <c r="AL149" i="13"/>
  <c r="K149" i="13"/>
  <c r="P148" i="13"/>
  <c r="AJ147" i="13"/>
  <c r="H146" i="13"/>
  <c r="AM144" i="13"/>
  <c r="V144" i="13"/>
  <c r="F143" i="13"/>
  <c r="AK142" i="13"/>
  <c r="AG142" i="13"/>
  <c r="D141" i="13"/>
  <c r="AI140" i="13"/>
  <c r="AC139" i="13"/>
  <c r="AF138" i="13"/>
  <c r="AL137" i="13"/>
  <c r="K137" i="13"/>
  <c r="P136" i="13"/>
  <c r="AJ135" i="13"/>
  <c r="H134" i="13"/>
  <c r="AM132" i="13"/>
  <c r="AL183" i="13"/>
  <c r="AJ180" i="13"/>
  <c r="P179" i="13"/>
  <c r="V178" i="13"/>
  <c r="K177" i="13"/>
  <c r="AG176" i="13"/>
  <c r="K175" i="13"/>
  <c r="K172" i="13"/>
  <c r="V171" i="13"/>
  <c r="P170" i="13"/>
  <c r="AM168" i="13"/>
  <c r="K167" i="13"/>
  <c r="P166" i="13"/>
  <c r="AI165" i="13"/>
  <c r="AL164" i="13"/>
  <c r="V163" i="13"/>
  <c r="D162" i="13"/>
  <c r="AI161" i="13"/>
  <c r="AM160" i="13"/>
  <c r="V159" i="13"/>
  <c r="AF158" i="13"/>
  <c r="V157" i="13"/>
  <c r="H155" i="13"/>
  <c r="AK154" i="13"/>
  <c r="AG154" i="13"/>
  <c r="AF153" i="13"/>
  <c r="H152" i="13"/>
  <c r="AK151" i="13"/>
  <c r="AG151" i="13"/>
  <c r="F150" i="13"/>
  <c r="AK149" i="13"/>
  <c r="AG149" i="13"/>
  <c r="D148" i="13"/>
  <c r="AI147" i="13"/>
  <c r="AC146" i="13"/>
  <c r="AF145" i="13"/>
  <c r="AL144" i="13"/>
  <c r="K144" i="13"/>
  <c r="P143" i="13"/>
  <c r="AJ142" i="13"/>
  <c r="H141" i="13"/>
  <c r="AM139" i="13"/>
  <c r="D179" i="13"/>
  <c r="K178" i="13"/>
  <c r="AG172" i="13"/>
  <c r="K171" i="13"/>
  <c r="D170" i="13"/>
  <c r="AF169" i="13"/>
  <c r="AL168" i="13"/>
  <c r="AG167" i="13"/>
  <c r="D166" i="13"/>
  <c r="AK164" i="13"/>
  <c r="K163" i="13"/>
  <c r="H162" i="13"/>
  <c r="AL160" i="13"/>
  <c r="K159" i="13"/>
  <c r="F158" i="13"/>
  <c r="AM157" i="13"/>
  <c r="K157" i="13"/>
  <c r="AF156" i="13"/>
  <c r="AC155" i="13"/>
  <c r="AJ154" i="13"/>
  <c r="F153" i="13"/>
  <c r="AC152" i="13"/>
  <c r="AJ151" i="13"/>
  <c r="P150" i="13"/>
  <c r="AJ149" i="13"/>
  <c r="H148" i="13"/>
  <c r="AM146" i="13"/>
  <c r="V146" i="13"/>
  <c r="F145" i="13"/>
  <c r="AK144" i="13"/>
  <c r="AG144" i="13"/>
  <c r="D143" i="13"/>
  <c r="AI142" i="13"/>
  <c r="AC141" i="13"/>
  <c r="AF140" i="13"/>
  <c r="AL139" i="13"/>
  <c r="K139" i="13"/>
  <c r="P138" i="13"/>
  <c r="AJ137" i="13"/>
  <c r="H136" i="13"/>
  <c r="AM134" i="13"/>
  <c r="V134" i="13"/>
  <c r="F133" i="13"/>
  <c r="AK132" i="13"/>
  <c r="AG132" i="13"/>
  <c r="D131" i="13"/>
  <c r="AI130" i="13"/>
  <c r="AC129" i="13"/>
  <c r="AF128" i="13"/>
  <c r="AL127" i="13"/>
  <c r="K127" i="13"/>
  <c r="P126" i="13"/>
  <c r="AJ125" i="13"/>
  <c r="D180" i="13"/>
  <c r="K179" i="13"/>
  <c r="H170" i="13"/>
  <c r="F169" i="13"/>
  <c r="AJ168" i="13"/>
  <c r="AC166" i="13"/>
  <c r="AF165" i="13"/>
  <c r="AJ164" i="13"/>
  <c r="AG163" i="13"/>
  <c r="AC162" i="13"/>
  <c r="F161" i="13"/>
  <c r="AK160" i="13"/>
  <c r="AG159" i="13"/>
  <c r="P158" i="13"/>
  <c r="AL157" i="13"/>
  <c r="AG157" i="13"/>
  <c r="P156" i="13"/>
  <c r="AM155" i="13"/>
  <c r="V155" i="13"/>
  <c r="AI154" i="13"/>
  <c r="P153" i="13"/>
  <c r="AM152" i="13"/>
  <c r="V152" i="13"/>
  <c r="AI151" i="13"/>
  <c r="D150" i="13"/>
  <c r="AI149" i="13"/>
  <c r="AC148" i="13"/>
  <c r="AF147" i="13"/>
  <c r="AL146" i="13"/>
  <c r="K146" i="13"/>
  <c r="P145" i="13"/>
  <c r="AJ144" i="13"/>
  <c r="H143" i="13"/>
  <c r="AM141" i="13"/>
  <c r="V141" i="13"/>
  <c r="F140" i="13"/>
  <c r="AK139" i="13"/>
  <c r="AG139" i="13"/>
  <c r="D138" i="13"/>
  <c r="AI137" i="13"/>
  <c r="AC136" i="13"/>
  <c r="AF135" i="13"/>
  <c r="AL134" i="13"/>
  <c r="K134" i="13"/>
  <c r="P133" i="13"/>
  <c r="AJ132" i="13"/>
  <c r="H131" i="13"/>
  <c r="AM129" i="13"/>
  <c r="V129" i="13"/>
  <c r="F128" i="13"/>
  <c r="AK127" i="13"/>
  <c r="AG127" i="13"/>
  <c r="D126" i="13"/>
  <c r="AI125" i="13"/>
  <c r="AC124" i="13"/>
  <c r="AF123" i="13"/>
  <c r="AL122" i="13"/>
  <c r="K122" i="13"/>
  <c r="P121" i="13"/>
  <c r="AJ120" i="13"/>
  <c r="H119" i="13"/>
  <c r="AM117" i="13"/>
  <c r="V117" i="13"/>
  <c r="F116" i="13"/>
  <c r="AK115" i="13"/>
  <c r="D183" i="13"/>
  <c r="AL181" i="13"/>
  <c r="V180" i="13"/>
  <c r="AM174" i="13"/>
  <c r="AL173" i="13"/>
  <c r="AM172" i="13"/>
  <c r="K170" i="13"/>
  <c r="P169" i="13"/>
  <c r="AI168" i="13"/>
  <c r="AL167" i="13"/>
  <c r="V166" i="13"/>
  <c r="D165" i="13"/>
  <c r="AI164" i="13"/>
  <c r="AM163" i="13"/>
  <c r="V162" i="13"/>
  <c r="P161" i="13"/>
  <c r="AM159" i="13"/>
  <c r="D158" i="13"/>
  <c r="AK157" i="13"/>
  <c r="D156" i="13"/>
  <c r="AL155" i="13"/>
  <c r="K155" i="13"/>
  <c r="D153" i="13"/>
  <c r="AL152" i="13"/>
  <c r="K152" i="13"/>
  <c r="H150" i="13"/>
  <c r="AM148" i="13"/>
  <c r="AL174" i="13"/>
  <c r="AK173" i="13"/>
  <c r="AL172" i="13"/>
  <c r="AM171" i="13"/>
  <c r="AG170" i="13"/>
  <c r="D169" i="13"/>
  <c r="AK167" i="13"/>
  <c r="K166" i="13"/>
  <c r="H165" i="13"/>
  <c r="AL163" i="13"/>
  <c r="K162" i="13"/>
  <c r="D161" i="13"/>
  <c r="AF160" i="13"/>
  <c r="AL159" i="13"/>
  <c r="H158" i="13"/>
  <c r="AI157" i="13"/>
  <c r="H156" i="13"/>
  <c r="AK155" i="13"/>
  <c r="AG155" i="13"/>
  <c r="AF154" i="13"/>
  <c r="H153" i="13"/>
  <c r="AK152" i="13"/>
  <c r="AG152" i="13"/>
  <c r="AF151" i="13"/>
  <c r="AC150" i="13"/>
  <c r="AF149" i="13"/>
  <c r="AL148" i="13"/>
  <c r="K148" i="13"/>
  <c r="P147" i="13"/>
  <c r="AJ146" i="13"/>
  <c r="H145" i="13"/>
  <c r="AM143" i="13"/>
  <c r="V143" i="13"/>
  <c r="F142" i="13"/>
  <c r="AK141" i="13"/>
  <c r="AG141" i="13"/>
  <c r="D140" i="13"/>
  <c r="AI139" i="13"/>
  <c r="AC138" i="13"/>
  <c r="AF137" i="13"/>
  <c r="AL136" i="13"/>
  <c r="K136" i="13"/>
  <c r="P135" i="13"/>
  <c r="AJ134" i="13"/>
  <c r="H133" i="13"/>
  <c r="AM131" i="13"/>
  <c r="V131" i="13"/>
  <c r="F130" i="13"/>
  <c r="AK129" i="13"/>
  <c r="AG129" i="13"/>
  <c r="D128" i="13"/>
  <c r="AI127" i="13"/>
  <c r="AC126" i="13"/>
  <c r="AF125" i="13"/>
  <c r="AL124" i="13"/>
  <c r="K124" i="13"/>
  <c r="P123" i="13"/>
  <c r="AJ122" i="13"/>
  <c r="H121" i="13"/>
  <c r="AM119" i="13"/>
  <c r="V119" i="13"/>
  <c r="F118" i="13"/>
  <c r="AK117" i="13"/>
  <c r="AG117" i="13"/>
  <c r="D116" i="13"/>
  <c r="AI115" i="13"/>
  <c r="AC114" i="13"/>
  <c r="AF113" i="13"/>
  <c r="AL112" i="13"/>
  <c r="K112" i="13"/>
  <c r="P111" i="13"/>
  <c r="AJ110" i="13"/>
  <c r="H109" i="13"/>
  <c r="AM107" i="13"/>
  <c r="AC156" i="13"/>
  <c r="AJ155" i="13"/>
  <c r="F154" i="13"/>
  <c r="AC153" i="13"/>
  <c r="AJ152" i="13"/>
  <c r="F151" i="13"/>
  <c r="AM150" i="13"/>
  <c r="V150" i="13"/>
  <c r="F149" i="13"/>
  <c r="AK148" i="13"/>
  <c r="AG148" i="13"/>
  <c r="D147" i="13"/>
  <c r="AI146" i="13"/>
  <c r="AC145" i="13"/>
  <c r="AF144" i="13"/>
  <c r="AL143" i="13"/>
  <c r="K143" i="13"/>
  <c r="P142" i="13"/>
  <c r="AJ141" i="13"/>
  <c r="H140" i="13"/>
  <c r="AM138" i="13"/>
  <c r="V138" i="13"/>
  <c r="F137" i="13"/>
  <c r="AK136" i="13"/>
  <c r="AG136" i="13"/>
  <c r="D135" i="13"/>
  <c r="AI134" i="13"/>
  <c r="AC133" i="13"/>
  <c r="AF132" i="13"/>
  <c r="AL131" i="13"/>
  <c r="K131" i="13"/>
  <c r="P130" i="13"/>
  <c r="AJ129" i="13"/>
  <c r="H128" i="13"/>
  <c r="AM126" i="13"/>
  <c r="V126" i="13"/>
  <c r="F125" i="13"/>
  <c r="AK124" i="13"/>
  <c r="AG124" i="13"/>
  <c r="D123" i="13"/>
  <c r="AI122" i="13"/>
  <c r="AC121" i="13"/>
  <c r="AF120" i="13"/>
  <c r="AL119" i="13"/>
  <c r="K119" i="13"/>
  <c r="P118" i="13"/>
  <c r="AJ117" i="13"/>
  <c r="H116" i="13"/>
  <c r="AM114" i="13"/>
  <c r="V114" i="13"/>
  <c r="F113" i="13"/>
  <c r="AK112" i="13"/>
  <c r="AG112" i="13"/>
  <c r="D111" i="13"/>
  <c r="AI110" i="13"/>
  <c r="AC109" i="13"/>
  <c r="AF108" i="13"/>
  <c r="AL107" i="13"/>
  <c r="K107" i="13"/>
  <c r="P106" i="13"/>
  <c r="AJ105" i="13"/>
  <c r="H104" i="13"/>
  <c r="AM102" i="13"/>
  <c r="V102" i="13"/>
  <c r="F101" i="13"/>
  <c r="AK100" i="13"/>
  <c r="AG100" i="13"/>
  <c r="D99" i="13"/>
  <c r="AI98" i="13"/>
  <c r="AC97" i="13"/>
  <c r="D181" i="13"/>
  <c r="AM178" i="13"/>
  <c r="AJ177" i="13"/>
  <c r="AI176" i="13"/>
  <c r="AI174" i="13"/>
  <c r="AJ171" i="13"/>
  <c r="AL170" i="13"/>
  <c r="V169" i="13"/>
  <c r="D168" i="13"/>
  <c r="AI167" i="13"/>
  <c r="AM166" i="13"/>
  <c r="V165" i="13"/>
  <c r="P164" i="13"/>
  <c r="AM162" i="13"/>
  <c r="K161" i="13"/>
  <c r="P160" i="13"/>
  <c r="AI159" i="13"/>
  <c r="K158" i="13"/>
  <c r="AF157" i="13"/>
  <c r="V156" i="13"/>
  <c r="AI155" i="13"/>
  <c r="P154" i="13"/>
  <c r="AM153" i="13"/>
  <c r="V153" i="13"/>
  <c r="AI152" i="13"/>
  <c r="P151" i="13"/>
  <c r="AL150" i="13"/>
  <c r="K150" i="13"/>
  <c r="P149" i="13"/>
  <c r="AJ148" i="13"/>
  <c r="H147" i="13"/>
  <c r="AM145" i="13"/>
  <c r="V145" i="13"/>
  <c r="F144" i="13"/>
  <c r="AK143" i="13"/>
  <c r="AG143" i="13"/>
  <c r="D142" i="13"/>
  <c r="AI141" i="13"/>
  <c r="AC140" i="13"/>
  <c r="AF139" i="13"/>
  <c r="AL138" i="13"/>
  <c r="K138" i="13"/>
  <c r="P137" i="13"/>
  <c r="AJ136" i="13"/>
  <c r="H135" i="13"/>
  <c r="AM133" i="13"/>
  <c r="V133" i="13"/>
  <c r="F132" i="13"/>
  <c r="AK131" i="13"/>
  <c r="AG131" i="13"/>
  <c r="D130" i="13"/>
  <c r="AI129" i="13"/>
  <c r="AC128" i="13"/>
  <c r="AF127" i="13"/>
  <c r="AL126" i="13"/>
  <c r="K126" i="13"/>
  <c r="P125" i="13"/>
  <c r="AJ124" i="13"/>
  <c r="H123" i="13"/>
  <c r="AL182" i="13"/>
  <c r="AC181" i="13"/>
  <c r="AL178" i="13"/>
  <c r="AI177" i="13"/>
  <c r="AF175" i="13"/>
  <c r="F173" i="13"/>
  <c r="AF172" i="13"/>
  <c r="AI171" i="13"/>
  <c r="AK170" i="13"/>
  <c r="K169" i="13"/>
  <c r="H168" i="13"/>
  <c r="AL166" i="13"/>
  <c r="K165" i="13"/>
  <c r="D164" i="13"/>
  <c r="AF163" i="13"/>
  <c r="AL162" i="13"/>
  <c r="AG161" i="13"/>
  <c r="D160" i="13"/>
  <c r="AL158" i="13"/>
  <c r="AG158" i="13"/>
  <c r="F157" i="13"/>
  <c r="AM156" i="13"/>
  <c r="K156" i="13"/>
  <c r="D154" i="13"/>
  <c r="AL153" i="13"/>
  <c r="K153" i="13"/>
  <c r="D151" i="13"/>
  <c r="AK150" i="13"/>
  <c r="AG150" i="13"/>
  <c r="D149" i="13"/>
  <c r="AI148" i="13"/>
  <c r="AC147" i="13"/>
  <c r="AF146" i="13"/>
  <c r="AL145" i="13"/>
  <c r="K145" i="13"/>
  <c r="P144" i="13"/>
  <c r="AJ143" i="13"/>
  <c r="H142" i="13"/>
  <c r="AM140" i="13"/>
  <c r="V140" i="13"/>
  <c r="F139" i="13"/>
  <c r="AK138" i="13"/>
  <c r="AG138" i="13"/>
  <c r="D137" i="13"/>
  <c r="AI136" i="13"/>
  <c r="AC135" i="13"/>
  <c r="AF134" i="13"/>
  <c r="AL133" i="13"/>
  <c r="K181" i="13"/>
  <c r="AL179" i="13"/>
  <c r="F176" i="13"/>
  <c r="P175" i="13"/>
  <c r="D174" i="13"/>
  <c r="P173" i="13"/>
  <c r="P172" i="13"/>
  <c r="AJ170" i="13"/>
  <c r="AG169" i="13"/>
  <c r="AC168" i="13"/>
  <c r="F167" i="13"/>
  <c r="AK166" i="13"/>
  <c r="H164" i="13"/>
  <c r="F163" i="13"/>
  <c r="AJ162" i="13"/>
  <c r="AC160" i="13"/>
  <c r="AF159" i="13"/>
  <c r="AK158" i="13"/>
  <c r="P157" i="13"/>
  <c r="AL156" i="13"/>
  <c r="AG156" i="13"/>
  <c r="AF155" i="13"/>
  <c r="H154" i="13"/>
  <c r="AK153" i="13"/>
  <c r="AG153" i="13"/>
  <c r="AF152" i="13"/>
  <c r="H151" i="13"/>
  <c r="AJ150" i="13"/>
  <c r="H149" i="13"/>
  <c r="AM147" i="13"/>
  <c r="V147" i="13"/>
  <c r="F146" i="13"/>
  <c r="AK145" i="13"/>
  <c r="AG145" i="13"/>
  <c r="D144" i="13"/>
  <c r="AI143" i="13"/>
  <c r="AC142" i="13"/>
  <c r="AF141" i="13"/>
  <c r="AL140" i="13"/>
  <c r="K140" i="13"/>
  <c r="P139" i="13"/>
  <c r="AJ138" i="13"/>
  <c r="H137" i="13"/>
  <c r="AM135" i="13"/>
  <c r="V135" i="13"/>
  <c r="F134" i="13"/>
  <c r="AK133" i="13"/>
  <c r="AG133" i="13"/>
  <c r="D132" i="13"/>
  <c r="AI131" i="13"/>
  <c r="AC130" i="13"/>
  <c r="AF129" i="13"/>
  <c r="AL128" i="13"/>
  <c r="K128" i="13"/>
  <c r="P127" i="13"/>
  <c r="AJ126" i="13"/>
  <c r="H125" i="13"/>
  <c r="AM123" i="13"/>
  <c r="V123" i="13"/>
  <c r="F122" i="13"/>
  <c r="AK121" i="13"/>
  <c r="AG121" i="13"/>
  <c r="D120" i="13"/>
  <c r="AI119" i="13"/>
  <c r="AC118" i="13"/>
  <c r="F182" i="13"/>
  <c r="AI179" i="13"/>
  <c r="P178" i="13"/>
  <c r="D177" i="13"/>
  <c r="P176" i="13"/>
  <c r="D175" i="13"/>
  <c r="H174" i="13"/>
  <c r="D173" i="13"/>
  <c r="D172" i="13"/>
  <c r="AF171" i="13"/>
  <c r="AI170" i="13"/>
  <c r="AM169" i="13"/>
  <c r="V168" i="13"/>
  <c r="P167" i="13"/>
  <c r="AM165" i="13"/>
  <c r="K164" i="13"/>
  <c r="P163" i="13"/>
  <c r="AI162" i="13"/>
  <c r="AL161" i="13"/>
  <c r="V160" i="13"/>
  <c r="D159" i="13"/>
  <c r="AJ158" i="13"/>
  <c r="D157" i="13"/>
  <c r="AK156" i="13"/>
  <c r="F155" i="13"/>
  <c r="AC154" i="13"/>
  <c r="AJ153" i="13"/>
  <c r="F152" i="13"/>
  <c r="AC151" i="13"/>
  <c r="AI150" i="13"/>
  <c r="AC149" i="13"/>
  <c r="AF148" i="13"/>
  <c r="AL147" i="13"/>
  <c r="K147" i="13"/>
  <c r="P146" i="13"/>
  <c r="AJ145" i="13"/>
  <c r="H144" i="13"/>
  <c r="AM142" i="13"/>
  <c r="V174" i="13"/>
  <c r="AF142" i="13"/>
  <c r="AG140" i="13"/>
  <c r="V136" i="13"/>
  <c r="D134" i="13"/>
  <c r="AI132" i="13"/>
  <c r="P131" i="13"/>
  <c r="AG130" i="13"/>
  <c r="AI128" i="13"/>
  <c r="H127" i="13"/>
  <c r="AM125" i="13"/>
  <c r="D122" i="13"/>
  <c r="D121" i="13"/>
  <c r="H120" i="13"/>
  <c r="D119" i="13"/>
  <c r="H118" i="13"/>
  <c r="D117" i="13"/>
  <c r="P116" i="13"/>
  <c r="F115" i="13"/>
  <c r="AI114" i="13"/>
  <c r="AL113" i="13"/>
  <c r="V112" i="13"/>
  <c r="AC111" i="13"/>
  <c r="P110" i="13"/>
  <c r="AK108" i="13"/>
  <c r="V107" i="13"/>
  <c r="D106" i="13"/>
  <c r="AL104" i="13"/>
  <c r="AG104" i="13"/>
  <c r="D103" i="13"/>
  <c r="AL101" i="13"/>
  <c r="AG101" i="13"/>
  <c r="H100" i="13"/>
  <c r="AF99" i="13"/>
  <c r="AK98" i="13"/>
  <c r="V97" i="13"/>
  <c r="F96" i="13"/>
  <c r="AK95" i="13"/>
  <c r="AG95" i="13"/>
  <c r="D94" i="13"/>
  <c r="AI93" i="13"/>
  <c r="AC92" i="13"/>
  <c r="AF91" i="13"/>
  <c r="AL90" i="13"/>
  <c r="K90" i="13"/>
  <c r="P89" i="13"/>
  <c r="AJ88" i="13"/>
  <c r="H87" i="13"/>
  <c r="AM85" i="13"/>
  <c r="V85" i="13"/>
  <c r="F84" i="13"/>
  <c r="AK83" i="13"/>
  <c r="AG83" i="13"/>
  <c r="D82" i="13"/>
  <c r="AI81" i="13"/>
  <c r="AC80" i="13"/>
  <c r="AF79" i="13"/>
  <c r="D163" i="13"/>
  <c r="F148" i="13"/>
  <c r="D145" i="13"/>
  <c r="V142" i="13"/>
  <c r="AM137" i="13"/>
  <c r="AL135" i="13"/>
  <c r="AC134" i="13"/>
  <c r="AC131" i="13"/>
  <c r="AC127" i="13"/>
  <c r="AL125" i="13"/>
  <c r="AF124" i="13"/>
  <c r="F123" i="13"/>
  <c r="H122" i="13"/>
  <c r="V121" i="13"/>
  <c r="AC120" i="13"/>
  <c r="AC119" i="13"/>
  <c r="V118" i="13"/>
  <c r="H117" i="13"/>
  <c r="AC116" i="13"/>
  <c r="P115" i="13"/>
  <c r="AK113" i="13"/>
  <c r="V111" i="13"/>
  <c r="D110" i="13"/>
  <c r="AF109" i="13"/>
  <c r="AJ108" i="13"/>
  <c r="AG107" i="13"/>
  <c r="H106" i="13"/>
  <c r="AF105" i="13"/>
  <c r="AK104" i="13"/>
  <c r="H103" i="13"/>
  <c r="AF102" i="13"/>
  <c r="AK101" i="13"/>
  <c r="AC100" i="13"/>
  <c r="F99" i="13"/>
  <c r="AJ98" i="13"/>
  <c r="AM97" i="13"/>
  <c r="K97" i="13"/>
  <c r="P96" i="13"/>
  <c r="AJ95" i="13"/>
  <c r="H94" i="13"/>
  <c r="AM92" i="13"/>
  <c r="V92" i="13"/>
  <c r="F91" i="13"/>
  <c r="AK90" i="13"/>
  <c r="AG90" i="13"/>
  <c r="D89" i="13"/>
  <c r="AI88" i="13"/>
  <c r="AC87" i="13"/>
  <c r="AF86" i="13"/>
  <c r="AL85" i="13"/>
  <c r="K85" i="13"/>
  <c r="P84" i="13"/>
  <c r="AJ83" i="13"/>
  <c r="H82" i="13"/>
  <c r="AM80" i="13"/>
  <c r="V80" i="13"/>
  <c r="F79" i="13"/>
  <c r="AK78" i="13"/>
  <c r="AG78" i="13"/>
  <c r="D77" i="13"/>
  <c r="K168" i="13"/>
  <c r="H157" i="13"/>
  <c r="V148" i="13"/>
  <c r="K142" i="13"/>
  <c r="AJ139" i="13"/>
  <c r="AK137" i="13"/>
  <c r="AK135" i="13"/>
  <c r="AG134" i="13"/>
  <c r="P132" i="13"/>
  <c r="AL129" i="13"/>
  <c r="P128" i="13"/>
  <c r="V127" i="13"/>
  <c r="AK125" i="13"/>
  <c r="F124" i="13"/>
  <c r="AC123" i="13"/>
  <c r="AC122" i="13"/>
  <c r="K121" i="13"/>
  <c r="V120" i="13"/>
  <c r="AG119" i="13"/>
  <c r="K118" i="13"/>
  <c r="AC117" i="13"/>
  <c r="V116" i="13"/>
  <c r="D115" i="13"/>
  <c r="AF114" i="13"/>
  <c r="AJ113" i="13"/>
  <c r="AM112" i="13"/>
  <c r="K111" i="13"/>
  <c r="H110" i="13"/>
  <c r="F109" i="13"/>
  <c r="AI108" i="13"/>
  <c r="AK107" i="13"/>
  <c r="AC106" i="13"/>
  <c r="F105" i="13"/>
  <c r="AJ104" i="13"/>
  <c r="AC103" i="13"/>
  <c r="F102" i="13"/>
  <c r="AJ101" i="13"/>
  <c r="V100" i="13"/>
  <c r="P99" i="13"/>
  <c r="AL97" i="13"/>
  <c r="AG97" i="13"/>
  <c r="D96" i="13"/>
  <c r="AI95" i="13"/>
  <c r="AC94" i="13"/>
  <c r="AF93" i="13"/>
  <c r="AL92" i="13"/>
  <c r="K92" i="13"/>
  <c r="P91" i="13"/>
  <c r="D178" i="13"/>
  <c r="K173" i="13"/>
  <c r="AK161" i="13"/>
  <c r="AJ156" i="13"/>
  <c r="P152" i="13"/>
  <c r="AK147" i="13"/>
  <c r="AI144" i="13"/>
  <c r="AL141" i="13"/>
  <c r="AI135" i="13"/>
  <c r="AJ133" i="13"/>
  <c r="H132" i="13"/>
  <c r="AM130" i="13"/>
  <c r="V128" i="13"/>
  <c r="P124" i="13"/>
  <c r="K123" i="13"/>
  <c r="V122" i="13"/>
  <c r="K120" i="13"/>
  <c r="AG118" i="13"/>
  <c r="K117" i="13"/>
  <c r="K116" i="13"/>
  <c r="H115" i="13"/>
  <c r="F114" i="13"/>
  <c r="AI113" i="13"/>
  <c r="AJ112" i="13"/>
  <c r="AM111" i="13"/>
  <c r="AG111" i="13"/>
  <c r="AC110" i="13"/>
  <c r="P109" i="13"/>
  <c r="AJ107" i="13"/>
  <c r="V106" i="13"/>
  <c r="P105" i="13"/>
  <c r="AI104" i="13"/>
  <c r="AM103" i="13"/>
  <c r="V103" i="13"/>
  <c r="P102" i="13"/>
  <c r="AI101" i="13"/>
  <c r="AM100" i="13"/>
  <c r="K100" i="13"/>
  <c r="H99" i="13"/>
  <c r="AF98" i="13"/>
  <c r="AK97" i="13"/>
  <c r="H96" i="13"/>
  <c r="AM94" i="13"/>
  <c r="V94" i="13"/>
  <c r="F93" i="13"/>
  <c r="AK92" i="13"/>
  <c r="AG92" i="13"/>
  <c r="D91" i="13"/>
  <c r="AI90" i="13"/>
  <c r="AC89" i="13"/>
  <c r="AF88" i="13"/>
  <c r="AL87" i="13"/>
  <c r="K87" i="13"/>
  <c r="P86" i="13"/>
  <c r="AJ85" i="13"/>
  <c r="H84" i="13"/>
  <c r="AM82" i="13"/>
  <c r="V82" i="13"/>
  <c r="F81" i="13"/>
  <c r="AK80" i="13"/>
  <c r="AG80" i="13"/>
  <c r="D79" i="13"/>
  <c r="AI78" i="13"/>
  <c r="AC77" i="13"/>
  <c r="AF76" i="13"/>
  <c r="AL75" i="13"/>
  <c r="K75" i="13"/>
  <c r="P74" i="13"/>
  <c r="AJ73" i="13"/>
  <c r="H72" i="13"/>
  <c r="D167" i="13"/>
  <c r="D139" i="13"/>
  <c r="AC137" i="13"/>
  <c r="AI133" i="13"/>
  <c r="AC132" i="13"/>
  <c r="AL130" i="13"/>
  <c r="F129" i="13"/>
  <c r="AG128" i="13"/>
  <c r="AK126" i="13"/>
  <c r="D125" i="13"/>
  <c r="D124" i="13"/>
  <c r="AG123" i="13"/>
  <c r="AG122" i="13"/>
  <c r="AG120" i="13"/>
  <c r="AM118" i="13"/>
  <c r="AG116" i="13"/>
  <c r="AC115" i="13"/>
  <c r="P114" i="13"/>
  <c r="AI112" i="13"/>
  <c r="AL111" i="13"/>
  <c r="V110" i="13"/>
  <c r="D109" i="13"/>
  <c r="F108" i="13"/>
  <c r="AI107" i="13"/>
  <c r="AM106" i="13"/>
  <c r="K106" i="13"/>
  <c r="D105" i="13"/>
  <c r="AL103" i="13"/>
  <c r="K103" i="13"/>
  <c r="D102" i="13"/>
  <c r="AL100" i="13"/>
  <c r="AC99" i="13"/>
  <c r="F98" i="13"/>
  <c r="AJ97" i="13"/>
  <c r="AC96" i="13"/>
  <c r="AF95" i="13"/>
  <c r="AL94" i="13"/>
  <c r="K94" i="13"/>
  <c r="P93" i="13"/>
  <c r="AJ92" i="13"/>
  <c r="H91" i="13"/>
  <c r="AM89" i="13"/>
  <c r="V89" i="13"/>
  <c r="F88" i="13"/>
  <c r="AK87" i="13"/>
  <c r="AG87" i="13"/>
  <c r="D86" i="13"/>
  <c r="AI85" i="13"/>
  <c r="AC84" i="13"/>
  <c r="AF83" i="13"/>
  <c r="AL82" i="13"/>
  <c r="K82" i="13"/>
  <c r="P81" i="13"/>
  <c r="AJ80" i="13"/>
  <c r="H79" i="13"/>
  <c r="AM77" i="13"/>
  <c r="V77" i="13"/>
  <c r="F76" i="13"/>
  <c r="AK75" i="13"/>
  <c r="AG75" i="13"/>
  <c r="D74" i="13"/>
  <c r="AI73" i="13"/>
  <c r="AC72" i="13"/>
  <c r="AF71" i="13"/>
  <c r="AL70" i="13"/>
  <c r="K70" i="13"/>
  <c r="P69" i="13"/>
  <c r="AJ68" i="13"/>
  <c r="H67" i="13"/>
  <c r="AM65" i="13"/>
  <c r="V65" i="13"/>
  <c r="F64" i="13"/>
  <c r="AK63" i="13"/>
  <c r="AG63" i="13"/>
  <c r="AC172" i="13"/>
  <c r="AM151" i="13"/>
  <c r="F147" i="13"/>
  <c r="AC144" i="13"/>
  <c r="F141" i="13"/>
  <c r="H139" i="13"/>
  <c r="V137" i="13"/>
  <c r="F135" i="13"/>
  <c r="V132" i="13"/>
  <c r="AK130" i="13"/>
  <c r="P129" i="13"/>
  <c r="AI126" i="13"/>
  <c r="AC125" i="13"/>
  <c r="H124" i="13"/>
  <c r="AM121" i="13"/>
  <c r="AM120" i="13"/>
  <c r="AL118" i="13"/>
  <c r="AM116" i="13"/>
  <c r="V115" i="13"/>
  <c r="D114" i="13"/>
  <c r="P113" i="13"/>
  <c r="AK111" i="13"/>
  <c r="K110" i="13"/>
  <c r="V109" i="13"/>
  <c r="P108" i="13"/>
  <c r="AL106" i="13"/>
  <c r="AG106" i="13"/>
  <c r="H105" i="13"/>
  <c r="AF104" i="13"/>
  <c r="AK103" i="13"/>
  <c r="AG103" i="13"/>
  <c r="H102" i="13"/>
  <c r="AF101" i="13"/>
  <c r="AJ100" i="13"/>
  <c r="V99" i="13"/>
  <c r="P98" i="13"/>
  <c r="AI97" i="13"/>
  <c r="AM96" i="13"/>
  <c r="V96" i="13"/>
  <c r="F95" i="13"/>
  <c r="AK94" i="13"/>
  <c r="AG94" i="13"/>
  <c r="D93" i="13"/>
  <c r="AI92" i="13"/>
  <c r="AC91" i="13"/>
  <c r="AF90" i="13"/>
  <c r="AL89" i="13"/>
  <c r="K89" i="13"/>
  <c r="P88" i="13"/>
  <c r="AJ87" i="13"/>
  <c r="H86" i="13"/>
  <c r="AM84" i="13"/>
  <c r="V84" i="13"/>
  <c r="F83" i="13"/>
  <c r="AK82" i="13"/>
  <c r="AG82" i="13"/>
  <c r="D81" i="13"/>
  <c r="AI80" i="13"/>
  <c r="AC79" i="13"/>
  <c r="AF78" i="13"/>
  <c r="AL77" i="13"/>
  <c r="K77" i="13"/>
  <c r="P76" i="13"/>
  <c r="AJ75" i="13"/>
  <c r="H74" i="13"/>
  <c r="AM72" i="13"/>
  <c r="V72" i="13"/>
  <c r="F71" i="13"/>
  <c r="AK70" i="13"/>
  <c r="AG70" i="13"/>
  <c r="D69" i="13"/>
  <c r="AI68" i="13"/>
  <c r="AC67" i="13"/>
  <c r="AF66" i="13"/>
  <c r="D171" i="13"/>
  <c r="AL165" i="13"/>
  <c r="K160" i="13"/>
  <c r="P155" i="13"/>
  <c r="V151" i="13"/>
  <c r="AK146" i="13"/>
  <c r="K141" i="13"/>
  <c r="AM136" i="13"/>
  <c r="AG135" i="13"/>
  <c r="D133" i="13"/>
  <c r="H129" i="13"/>
  <c r="AM127" i="13"/>
  <c r="AF126" i="13"/>
  <c r="K125" i="13"/>
  <c r="AM122" i="13"/>
  <c r="AJ121" i="13"/>
  <c r="AK120" i="13"/>
  <c r="AJ119" i="13"/>
  <c r="AJ118" i="13"/>
  <c r="AI117" i="13"/>
  <c r="AK116" i="13"/>
  <c r="AM115" i="13"/>
  <c r="AG115" i="13"/>
  <c r="K114" i="13"/>
  <c r="H113" i="13"/>
  <c r="F112" i="13"/>
  <c r="AI111" i="13"/>
  <c r="AL110" i="13"/>
  <c r="AM109" i="13"/>
  <c r="AG109" i="13"/>
  <c r="H108" i="13"/>
  <c r="F107" i="13"/>
  <c r="AJ106" i="13"/>
  <c r="V105" i="13"/>
  <c r="P104" i="13"/>
  <c r="AI103" i="13"/>
  <c r="K102" i="13"/>
  <c r="D101" i="13"/>
  <c r="AL99" i="13"/>
  <c r="AG99" i="13"/>
  <c r="H98" i="13"/>
  <c r="AF97" i="13"/>
  <c r="AK96" i="13"/>
  <c r="AG96" i="13"/>
  <c r="D95" i="13"/>
  <c r="AI94" i="13"/>
  <c r="AC93" i="13"/>
  <c r="AF92" i="13"/>
  <c r="AL91" i="13"/>
  <c r="K91" i="13"/>
  <c r="P90" i="13"/>
  <c r="AJ89" i="13"/>
  <c r="H88" i="13"/>
  <c r="AM86" i="13"/>
  <c r="V86" i="13"/>
  <c r="F85" i="13"/>
  <c r="AK84" i="13"/>
  <c r="AG84" i="13"/>
  <c r="D83" i="13"/>
  <c r="AI82" i="13"/>
  <c r="AC81" i="13"/>
  <c r="AF80" i="13"/>
  <c r="AL79" i="13"/>
  <c r="K79" i="13"/>
  <c r="P78" i="13"/>
  <c r="AJ77" i="13"/>
  <c r="H76" i="13"/>
  <c r="D176" i="13"/>
  <c r="AM154" i="13"/>
  <c r="AF143" i="13"/>
  <c r="AK140" i="13"/>
  <c r="AI138" i="13"/>
  <c r="K133" i="13"/>
  <c r="AJ131" i="13"/>
  <c r="AF130" i="13"/>
  <c r="K129" i="13"/>
  <c r="AJ127" i="13"/>
  <c r="F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K105" i="13"/>
  <c r="D104" i="13"/>
  <c r="AL102" i="13"/>
  <c r="AG102" i="13"/>
  <c r="H101" i="13"/>
  <c r="AF100" i="13"/>
  <c r="AK99" i="13"/>
  <c r="AC98" i="13"/>
  <c r="F97" i="13"/>
  <c r="AJ96" i="13"/>
  <c r="H95" i="13"/>
  <c r="AM93" i="13"/>
  <c r="V93" i="13"/>
  <c r="F92" i="13"/>
  <c r="AK91" i="13"/>
  <c r="AG91" i="13"/>
  <c r="D90" i="13"/>
  <c r="AI89" i="13"/>
  <c r="AC88" i="13"/>
  <c r="AF87" i="13"/>
  <c r="AL86" i="13"/>
  <c r="K86" i="13"/>
  <c r="P85" i="13"/>
  <c r="AJ84" i="13"/>
  <c r="H83" i="13"/>
  <c r="AM81" i="13"/>
  <c r="V81" i="13"/>
  <c r="F80" i="13"/>
  <c r="D182" i="13"/>
  <c r="H159" i="13"/>
  <c r="AM149" i="13"/>
  <c r="D146" i="13"/>
  <c r="AC143" i="13"/>
  <c r="AJ140" i="13"/>
  <c r="AF136" i="13"/>
  <c r="AK134" i="13"/>
  <c r="H130" i="13"/>
  <c r="AM128" i="13"/>
  <c r="H126" i="13"/>
  <c r="AK123" i="13"/>
  <c r="AF119" i="13"/>
  <c r="AF117" i="13"/>
  <c r="AI116" i="13"/>
  <c r="AJ115" i="13"/>
  <c r="AL114" i="13"/>
  <c r="V113" i="13"/>
  <c r="D112" i="13"/>
  <c r="AF111" i="13"/>
  <c r="AK109" i="13"/>
  <c r="V108" i="13"/>
  <c r="D107" i="13"/>
  <c r="AL105" i="13"/>
  <c r="AG105" i="13"/>
  <c r="AC104" i="13"/>
  <c r="AF103" i="13"/>
  <c r="AK102" i="13"/>
  <c r="AC101" i="13"/>
  <c r="F100" i="13"/>
  <c r="AJ99" i="13"/>
  <c r="V98" i="13"/>
  <c r="P97" i="13"/>
  <c r="AI96" i="13"/>
  <c r="AC95" i="13"/>
  <c r="AF94" i="13"/>
  <c r="AL93" i="13"/>
  <c r="K93" i="13"/>
  <c r="P92" i="13"/>
  <c r="AJ91" i="13"/>
  <c r="H90" i="13"/>
  <c r="AC175" i="13"/>
  <c r="AL169" i="13"/>
  <c r="AI158" i="13"/>
  <c r="V154" i="13"/>
  <c r="AG146" i="13"/>
  <c r="AL142" i="13"/>
  <c r="F138" i="13"/>
  <c r="F136" i="13"/>
  <c r="AF131" i="13"/>
  <c r="V130" i="13"/>
  <c r="AK128" i="13"/>
  <c r="F127" i="13"/>
  <c r="AG126" i="13"/>
  <c r="AM124" i="13"/>
  <c r="AJ123" i="13"/>
  <c r="AF122" i="13"/>
  <c r="AF121" i="13"/>
  <c r="F120" i="13"/>
  <c r="F119" i="13"/>
  <c r="AF118" i="13"/>
  <c r="F117" i="13"/>
  <c r="AK114" i="13"/>
  <c r="K113" i="13"/>
  <c r="H112" i="13"/>
  <c r="F111" i="13"/>
  <c r="AF110" i="13"/>
  <c r="AJ109" i="13"/>
  <c r="AM108" i="13"/>
  <c r="K108" i="13"/>
  <c r="H107" i="13"/>
  <c r="AF106" i="13"/>
  <c r="AK105" i="13"/>
  <c r="V104" i="13"/>
  <c r="F103" i="13"/>
  <c r="AJ102" i="13"/>
  <c r="V101" i="13"/>
  <c r="P100" i="13"/>
  <c r="AI99" i="13"/>
  <c r="AM98" i="13"/>
  <c r="K98" i="13"/>
  <c r="D97" i="13"/>
  <c r="AM95" i="13"/>
  <c r="V95" i="13"/>
  <c r="F94" i="13"/>
  <c r="AK93" i="13"/>
  <c r="AG93" i="13"/>
  <c r="D92" i="13"/>
  <c r="AI91" i="13"/>
  <c r="AC90" i="13"/>
  <c r="AF89" i="13"/>
  <c r="AL88" i="13"/>
  <c r="K88" i="13"/>
  <c r="P87" i="13"/>
  <c r="AJ86" i="13"/>
  <c r="H85" i="13"/>
  <c r="AM83" i="13"/>
  <c r="P140" i="13"/>
  <c r="AK183" i="13"/>
  <c r="AG168" i="13"/>
  <c r="AF167" i="13"/>
  <c r="H166" i="13"/>
  <c r="AK165" i="13"/>
  <c r="AG165" i="13"/>
  <c r="AF164" i="13"/>
  <c r="H163" i="13"/>
  <c r="AK162" i="13"/>
  <c r="AG162" i="13"/>
  <c r="AF161" i="13"/>
  <c r="H160" i="13"/>
  <c r="AK159" i="13"/>
  <c r="AI183" i="13"/>
  <c r="P182" i="13"/>
  <c r="AM181" i="13"/>
  <c r="V181" i="13"/>
  <c r="AI180" i="13"/>
  <c r="AK181" i="13"/>
  <c r="AG181" i="13"/>
  <c r="AF180" i="13"/>
  <c r="H179" i="13"/>
  <c r="AK178" i="13"/>
  <c r="AG178" i="13"/>
  <c r="AF177" i="13"/>
  <c r="H176" i="13"/>
  <c r="AK175" i="13"/>
  <c r="AG175" i="13"/>
  <c r="AF174" i="13"/>
  <c r="H173" i="13"/>
  <c r="AJ166" i="13"/>
  <c r="F165" i="13"/>
  <c r="AC164" i="13"/>
  <c r="AJ163" i="13"/>
  <c r="F162" i="13"/>
  <c r="AC161" i="13"/>
  <c r="AJ160" i="13"/>
  <c r="F159" i="13"/>
  <c r="AC158" i="13"/>
  <c r="AJ157" i="13"/>
  <c r="F156" i="13"/>
  <c r="V167" i="13"/>
  <c r="AI166" i="13"/>
  <c r="P165" i="13"/>
  <c r="AM164" i="13"/>
  <c r="V164" i="13"/>
  <c r="AI163" i="13"/>
  <c r="P162" i="13"/>
  <c r="AM161" i="13"/>
  <c r="V161" i="13"/>
  <c r="AI160" i="13"/>
  <c r="P159" i="13"/>
  <c r="AM158" i="13"/>
  <c r="H183" i="13"/>
  <c r="AK182" i="13"/>
  <c r="AG182" i="13"/>
  <c r="AF181" i="13"/>
  <c r="H180" i="13"/>
  <c r="AK179" i="13"/>
  <c r="AG179" i="13"/>
  <c r="AF178" i="13"/>
  <c r="F181" i="13"/>
  <c r="AC180" i="13"/>
  <c r="AJ179" i="13"/>
  <c r="F178" i="13"/>
  <c r="AC177" i="13"/>
  <c r="AJ176" i="13"/>
  <c r="F175" i="13"/>
  <c r="AC174" i="13"/>
  <c r="AJ173" i="13"/>
  <c r="F172" i="13"/>
  <c r="AC171" i="13"/>
  <c r="AM183" i="13"/>
  <c r="V183" i="13"/>
  <c r="AI182" i="13"/>
  <c r="V158" i="13"/>
  <c r="AJ159" i="13"/>
  <c r="F160" i="13"/>
  <c r="H161" i="13"/>
  <c r="AK163" i="13"/>
  <c r="F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K180" i="13"/>
  <c r="K183" i="13"/>
  <c r="H172" i="13"/>
  <c r="AJ183" i="13"/>
  <c r="AJ182" i="13"/>
  <c r="AC183" i="13"/>
  <c r="AM167" i="13"/>
  <c r="P168" i="13"/>
  <c r="AI169" i="13"/>
  <c r="V170" i="13"/>
  <c r="AM170" i="13"/>
  <c r="P171" i="13"/>
  <c r="AI172" i="13"/>
  <c r="V173" i="13"/>
  <c r="AM173" i="13"/>
  <c r="P174" i="13"/>
  <c r="AI175" i="13"/>
  <c r="V176" i="13"/>
  <c r="AM176" i="13"/>
  <c r="P177" i="13"/>
  <c r="AI178" i="13"/>
  <c r="V179" i="13"/>
  <c r="AM179" i="13"/>
  <c r="P180" i="13"/>
  <c r="AI181" i="13"/>
  <c r="V182" i="13"/>
  <c r="AM182" i="13"/>
  <c r="P183" i="13"/>
  <c r="AC167" i="13"/>
  <c r="F168" i="13"/>
  <c r="AJ169" i="13"/>
  <c r="AC170" i="13"/>
  <c r="F171" i="13"/>
  <c r="AJ172" i="13"/>
  <c r="AC173" i="13"/>
  <c r="F174" i="13"/>
  <c r="AJ175" i="13"/>
  <c r="AC176" i="13"/>
  <c r="F177" i="13"/>
  <c r="AJ178" i="13"/>
  <c r="AC179" i="13"/>
  <c r="F180" i="13"/>
  <c r="AJ181" i="13"/>
  <c r="AC182" i="13"/>
  <c r="F183" i="13"/>
  <c r="H182" i="13"/>
  <c r="AF183" i="13"/>
  <c r="AK168" i="13"/>
  <c r="H169" i="13"/>
  <c r="AF170" i="13"/>
  <c r="AG171" i="13"/>
  <c r="AK171" i="13"/>
  <c r="AF173" i="13"/>
  <c r="AG174" i="13"/>
  <c r="AK174" i="13"/>
  <c r="H175" i="13"/>
  <c r="AF176" i="13"/>
  <c r="AG177" i="13"/>
  <c r="AK177" i="13"/>
  <c r="H178" i="13"/>
  <c r="AF179" i="13"/>
  <c r="AG180" i="13"/>
  <c r="AK180" i="13"/>
  <c r="H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BM275" i="13" s="1"/>
  <c r="BX275" i="13" s="1"/>
  <c r="BM276" i="13" s="1"/>
  <c r="BX276" i="13" s="1"/>
  <c r="BM277" i="13" s="1"/>
  <c r="BX277" i="13" s="1"/>
  <c r="BM278" i="13" s="1"/>
  <c r="BX278" i="13" s="1"/>
  <c r="BM279" i="13" s="1"/>
  <c r="BX279" i="13" s="1"/>
  <c r="BM280" i="13" s="1"/>
  <c r="BX280" i="13" s="1"/>
  <c r="BM281" i="13" s="1"/>
  <c r="BX28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C275" i="13" s="1"/>
  <c r="AP275" i="13" s="1"/>
  <c r="C276" i="13" s="1"/>
  <c r="AP276" i="13" s="1"/>
  <c r="C277" i="13" s="1"/>
  <c r="AP277" i="13" s="1"/>
  <c r="C278" i="13" s="1"/>
  <c r="AP278" i="13" s="1"/>
  <c r="C279" i="13" s="1"/>
  <c r="AP279" i="13" s="1"/>
  <c r="C280" i="13" s="1"/>
  <c r="AP280" i="13" s="1"/>
  <c r="C281" i="13" s="1"/>
  <c r="AP28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AR275" i="13" s="1"/>
  <c r="BK275" i="13" s="1"/>
  <c r="AR276" i="13" s="1"/>
  <c r="BK276" i="13" s="1"/>
  <c r="AR277" i="13" s="1"/>
  <c r="BK277" i="13" s="1"/>
  <c r="AR278" i="13" s="1"/>
  <c r="BK278" i="13" s="1"/>
  <c r="AR279" i="13" s="1"/>
  <c r="BK279" i="13" s="1"/>
  <c r="AR280" i="13" s="1"/>
  <c r="BK280" i="13" s="1"/>
  <c r="AR281" i="13" s="1"/>
  <c r="BK28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<sst xmlns="http://schemas.openxmlformats.org/spreadsheetml/2006/main" count="20655" uniqueCount="4760">
  <si>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</si>
  <si>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</si>
  <si>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</si>
  <si>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</si>
  <si>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</si>
  <si>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</si>
  <si>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</si>
  <si>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</si>
  <si>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</si>
  <si>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</si>
  <si>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</si>
  <si>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</si>
  <si>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</si>
  <si>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</si>
  <si>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</si>
  <si>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</si>
  <si>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</si>
  <si>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</si>
  <si>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</si>
  <si>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</si>
  <si>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</si>
  <si>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</si>
  <si>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</si>
  <si>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</si>
  <si>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</si>
  <si>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</si>
  <si>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</si>
  <si>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</si>
  <si>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</si>
  <si>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</si>
  <si>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</si>
  <si>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</si>
  <si>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</si>
  <si>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</si>
  <si>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</si>
  <si>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</si>
  <si>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</si>
  <si>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</si>
  <si>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</si>
  <si>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</si>
  <si>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</si>
  <si>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</si>
  <si>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</si>
  <si>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</si>
  <si>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</si>
  <si>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</si>
  <si>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</si>
  <si>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</si>
  <si>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</si>
  <si>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</si>
  <si>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</si>
  <si>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</si>
  <si>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</si>
  <si>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</si>
  <si>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</si>
  <si>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</si>
  <si>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</si>
  <si>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</si>
  <si>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</si>
  <si>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</si>
  <si>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</si>
  <si>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</si>
  <si>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</si>
  <si>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</si>
  <si>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</si>
  <si>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</si>
  <si>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</si>
  <si>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</si>
  <si>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</si>
  <si>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</si>
  <si>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</si>
  <si>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</si>
  <si>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</si>
  <si>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</si>
  <si>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</si>
  <si>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</si>
  <si>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</si>
  <si>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</si>
  <si>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</si>
  <si>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</si>
  <si>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</si>
  <si>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</si>
  <si>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</si>
  <si>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</si>
  <si>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</si>
  <si>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</si>
  <si>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</si>
  <si>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</si>
  <si>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</si>
  <si>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</si>
  <si>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</si>
  <si>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</si>
  <si>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</si>
  <si>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</si>
  <si>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</si>
  <si>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</si>
  <si>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</si>
  <si>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</si>
  <si>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</si>
  <si>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</si>
  <si>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</si>
  <si>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</si>
  <si>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</si>
  <si>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</si>
  <si>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</si>
  <si>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</si>
  <si>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</si>
  <si>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</si>
  <si>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</si>
  <si>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</si>
  <si>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</si>
  <si>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</si>
  <si>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</si>
  <si>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</si>
  <si>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</si>
  <si>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</si>
  <si>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</si>
  <si>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</si>
  <si>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</si>
  <si>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</si>
  <si>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</si>
  <si>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</si>
  <si>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</si>
  <si>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</si>
  <si>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</si>
  <si>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</si>
  <si>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</si>
  <si>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</si>
  <si>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</si>
  <si>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</si>
  <si>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</si>
  <si>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</si>
  <si>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</si>
  <si>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</si>
  <si>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</si>
  <si>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</si>
  <si>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</si>
  <si>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</si>
  <si>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</si>
  <si>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</si>
  <si>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</si>
  <si>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</si>
  <si>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</si>
  <si>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</si>
  <si>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</si>
  <si>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</si>
  <si>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</si>
  <si>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</si>
  <si>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</si>
  <si>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</si>
  <si>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</si>
  <si>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</si>
  <si>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</si>
  <si>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</si>
  <si>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</si>
  <si>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</si>
  <si>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</si>
  <si>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</si>
  <si>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</si>
  <si>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</si>
  <si>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</si>
  <si>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</si>
  <si>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</si>
  <si>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</si>
  <si>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</si>
  <si>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</si>
  <si>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</si>
  <si>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</si>
  <si>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</si>
  <si>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</si>
  <si>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</si>
  <si>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</si>
  <si>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</si>
  <si>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</si>
  <si>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</si>
  <si>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</si>
  <si>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</si>
  <si>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</si>
  <si>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</si>
  <si>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</si>
  <si>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</si>
  <si>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</si>
  <si>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</si>
  <si>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</si>
  <si>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</si>
  <si>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</si>
  <si>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</si>
  <si>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</si>
  <si>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</si>
  <si>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</si>
  <si>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</si>
  <si>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</si>
  <si>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</si>
  <si>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</si>
  <si>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</si>
  <si>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</si>
  <si>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</si>
  <si>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</si>
  <si>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</si>
  <si>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</si>
  <si>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</si>
  <si>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</si>
  <si>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</si>
  <si>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</si>
  <si>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</si>
  <si>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</si>
  <si>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</si>
  <si>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</si>
  <si>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</si>
  <si>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</si>
  <si>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</si>
  <si>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</si>
  <si>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</si>
  <si>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</si>
  <si>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</si>
  <si>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</si>
  <si>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</si>
  <si>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</si>
  <si>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</si>
  <si>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</si>
  <si>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</si>
  <si>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</si>
  <si>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</si>
  <si>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</si>
  <si>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</si>
  <si>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</si>
  <si>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</si>
  <si>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</si>
  <si>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</si>
  <si>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</si>
  <si>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</si>
  <si>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</si>
  <si>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</si>
  <si>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</si>
  <si>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</si>
  <si>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</si>
  <si>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</si>
  <si>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</si>
  <si>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</si>
  <si>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</si>
  <si>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</si>
  <si>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</si>
  <si>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</si>
  <si>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</si>
  <si>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</si>
  <si>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</si>
  <si>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</si>
  <si>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</si>
  <si>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</si>
  <si>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</si>
  <si>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</si>
  <si>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</si>
  <si>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</si>
  <si>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</si>
  <si>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</si>
  <si>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</si>
  <si>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</si>
  <si>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</si>
  <si>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</si>
  <si>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</si>
  <si>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</si>
  <si>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</si>
  <si>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</si>
  <si>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</si>
  <si>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</si>
  <si>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</si>
  <si>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</si>
  <si>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</si>
  <si>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</si>
  <si>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</si>
  <si>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</si>
  <si>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</si>
  <si>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</si>
  <si>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</si>
  <si>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</si>
  <si>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</si>
  <si>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</si>
  <si>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</si>
  <si>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</si>
  <si>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</si>
  <si>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</si>
  <si>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</si>
  <si>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</si>
  <si>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</si>
  <si>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</si>
  <si>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</si>
  <si>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</si>
  <si>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</si>
  <si>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</si>
  <si>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</si>
  <si>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</si>
  <si>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</si>
  <si>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</si>
  <si>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</si>
  <si>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</si>
  <si>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</si>
  <si>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</si>
  <si>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</si>
  <si>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</si>
  <si>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</si>
  <si>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</si>
  <si>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</si>
  <si>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</si>
  <si>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</si>
  <si>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</si>
  <si>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</si>
  <si>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</si>
  <si>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</si>
  <si>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</si>
  <si>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</si>
  <si>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</si>
  <si>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</si>
  <si>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</si>
  <si>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</si>
  <si>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</si>
  <si>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</si>
  <si>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</si>
  <si>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</si>
  <si>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</si>
  <si>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</si>
  <si>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</si>
  <si>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</si>
  <si>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</si>
  <si>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</si>
  <si>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</si>
  <si>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</si>
  <si>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</si>
  <si>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</si>
  <si>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</si>
  <si>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</si>
  <si>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</si>
  <si>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</si>
  <si>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</si>
  <si>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</si>
  <si>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</si>
  <si>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</si>
  <si>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</si>
  <si>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</si>
  <si>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</si>
  <si>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</si>
  <si>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</si>
  <si>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</si>
  <si>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</si>
  <si>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</si>
  <si>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</si>
  <si>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</si>
  <si>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</si>
  <si>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</si>
  <si>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</si>
  <si>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</si>
  <si>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</si>
  <si>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</si>
  <si>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</si>
  <si>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</si>
  <si>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</si>
  <si>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</si>
  <si>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</si>
  <si>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</si>
  <si>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</si>
  <si>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</si>
  <si>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</si>
  <si>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</si>
  <si>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</si>
  <si>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</si>
  <si>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</si>
  <si>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</si>
  <si>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</si>
  <si>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</si>
  <si>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</si>
  <si>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</si>
  <si>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</si>
  <si>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</si>
  <si>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</si>
  <si>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</si>
  <si>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</si>
  <si>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</si>
  <si>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</si>
  <si>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</si>
  <si>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</si>
  <si>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</si>
  <si>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</si>
  <si>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</si>
  <si>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</si>
  <si>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</si>
  <si>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</si>
  <si>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</si>
  <si>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</si>
  <si>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</si>
  <si>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</si>
  <si>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</si>
  <si>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</si>
  <si>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</si>
  <si>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</si>
  <si>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</si>
  <si>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</si>
  <si>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</si>
  <si>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</si>
  <si>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</si>
  <si>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</si>
  <si>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</si>
  <si>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</si>
  <si>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</si>
  <si>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</si>
  <si>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</si>
  <si>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</si>
  <si>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</si>
  <si>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</si>
  <si>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</si>
  <si>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</si>
  <si>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</si>
  <si>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</si>
  <si>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</si>
  <si>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</si>
  <si>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</si>
  <si>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</si>
  <si>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</si>
  <si>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</si>
  <si>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</si>
  <si>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</si>
  <si>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</si>
  <si>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</si>
  <si>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</si>
  <si>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</si>
  <si>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</si>
  <si>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</si>
  <si>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</si>
  <si>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</si>
  <si>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</si>
  <si>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</si>
  <si>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</si>
  <si>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</si>
  <si>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</si>
  <si>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</si>
  <si>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</si>
  <si>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</si>
  <si>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</si>
  <si>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</si>
  <si>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</si>
  <si>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</si>
  <si>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</si>
  <si>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</si>
  <si>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</si>
  <si>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</si>
  <si>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</si>
  <si>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</si>
  <si>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</si>
  <si>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</si>
  <si>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</si>
  <si>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</si>
  <si>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</si>
  <si>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</si>
  <si>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</si>
  <si>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</si>
  <si>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</si>
  <si>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</si>
  <si>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</si>
  <si>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</si>
  <si>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</si>
  <si>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</si>
  <si>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</si>
  <si>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</si>
  <si>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</si>
  <si>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</si>
  <si>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</si>
  <si>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</si>
  <si>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</si>
  <si>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</si>
  <si>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</si>
  <si>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</si>
  <si>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</si>
  <si>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</si>
  <si>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</si>
  <si>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</si>
  <si>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</si>
  <si>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</si>
  <si>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</si>
  <si>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</si>
  <si>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</si>
  <si>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</si>
  <si>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</si>
  <si>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</si>
  <si>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</si>
  <si>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</si>
  <si>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</si>
  <si>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</si>
  <si>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</si>
  <si>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</si>
  <si>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</si>
  <si>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</si>
  <si>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</si>
  <si>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</si>
  <si>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</si>
  <si>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</si>
  <si>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</si>
  <si>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</si>
  <si>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</si>
  <si>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</si>
  <si>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</si>
  <si>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</si>
  <si>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</si>
  <si>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</si>
  <si>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</si>
  <si>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</si>
  <si>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</si>
  <si>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</si>
  <si>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</si>
  <si>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</si>
  <si>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</si>
  <si>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</si>
  <si>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</si>
  <si>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</si>
  <si>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</si>
  <si>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</si>
  <si>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</si>
  <si>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</si>
  <si>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</si>
  <si>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</si>
  <si>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</si>
  <si>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</si>
  <si>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</si>
  <si>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</si>
  <si>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</si>
  <si>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</si>
  <si>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</si>
  <si>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</si>
  <si>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</si>
  <si>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</si>
  <si>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</si>
  <si>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</si>
  <si>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</si>
  <si>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</si>
  <si>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</si>
  <si>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</si>
  <si>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</si>
  <si>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</si>
  <si>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</si>
  <si>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</si>
  <si>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</si>
  <si>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</si>
  <si>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</si>
  <si>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</si>
  <si>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</si>
  <si>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</si>
  <si>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</si>
  <si>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</si>
  <si>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</si>
  <si>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</si>
  <si>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</si>
  <si>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</si>
  <si>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</si>
  <si>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</si>
  <si>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</si>
  <si>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</si>
  <si>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</si>
  <si>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</si>
  <si>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</si>
  <si>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</si>
  <si>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</si>
  <si>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</si>
  <si>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</si>
  <si>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</si>
  <si>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</si>
  <si>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</si>
  <si>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</si>
  <si>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</si>
  <si>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</si>
  <si>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</si>
  <si>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</si>
  <si>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</si>
  <si>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</si>
  <si>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</si>
  <si>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</si>
  <si>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</si>
  <si>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</si>
  <si>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</si>
  <si>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</si>
  <si>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</si>
  <si>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</si>
  <si>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</si>
  <si>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</si>
  <si>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</si>
  <si>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</si>
  <si>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</si>
  <si>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</si>
  <si>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</si>
  <si>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</si>
  <si>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</si>
  <si>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</si>
  <si>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</si>
  <si>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</si>
  <si>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</si>
  <si>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</si>
  <si>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</si>
  <si>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</si>
  <si>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</si>
  <si>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</si>
  <si>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</si>
  <si>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</si>
  <si>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</si>
  <si>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</si>
  <si>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</si>
  <si>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</si>
  <si>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</si>
  <si>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</si>
  <si>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</si>
  <si>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</si>
  <si>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</si>
  <si>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</si>
  <si>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</si>
  <si>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</si>
  <si>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</si>
  <si>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</si>
  <si>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</si>
  <si>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</si>
  <si>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</si>
  <si>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</si>
  <si>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</si>
  <si>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</si>
  <si>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</si>
  <si>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</si>
  <si>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</si>
  <si>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</si>
  <si>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</si>
  <si>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</si>
  <si>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</si>
  <si>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</si>
  <si>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</si>
  <si>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</si>
  <si>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</si>
  <si>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</si>
  <si>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</si>
  <si>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</si>
  <si>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</si>
  <si>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</si>
  <si>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</si>
  <si>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</si>
  <si>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</si>
  <si>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</si>
  <si>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</si>
  <si>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</si>
  <si>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</si>
  <si>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</si>
  <si>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</si>
  <si>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</si>
  <si>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</si>
  <si>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</si>
  <si>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</si>
  <si>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</si>
  <si>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</si>
  <si>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</si>
  <si>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</si>
  <si>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</si>
  <si>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</si>
  <si>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</si>
  <si>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</si>
  <si>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</si>
  <si>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</si>
  <si>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</si>
  <si>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</si>
  <si>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</si>
  <si>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</si>
  <si>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</si>
  <si>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</si>
  <si>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</si>
  <si>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</si>
  <si>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</si>
  <si>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</si>
  <si>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</si>
  <si>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</si>
  <si>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</si>
  <si>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</si>
  <si>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</si>
  <si>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</si>
  <si>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</si>
  <si>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</si>
  <si>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</si>
  <si>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</si>
  <si>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</si>
  <si>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</si>
  <si>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</si>
  <si>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</si>
  <si>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</si>
  <si>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</si>
  <si>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</si>
  <si>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</si>
  <si>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</si>
  <si>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</si>
  <si>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</si>
  <si>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</si>
  <si>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</si>
  <si>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</si>
  <si>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</si>
  <si>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</si>
  <si>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</si>
  <si>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</si>
  <si>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</si>
  <si>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</si>
  <si>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</si>
  <si>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</si>
  <si>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</si>
  <si>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</si>
  <si>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</si>
  <si>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</si>
  <si>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</si>
  <si>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</si>
  <si>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</si>
  <si>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</si>
  <si>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</si>
  <si>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</si>
  <si>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</si>
  <si>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</si>
  <si>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</si>
  <si>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</si>
  <si>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</si>
  <si>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</si>
  <si>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</si>
  <si>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</si>
  <si>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</si>
  <si>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</si>
  <si>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</si>
  <si>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</si>
  <si>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</si>
  <si>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</si>
  <si>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</si>
  <si>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</si>
  <si>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</si>
  <si>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</si>
  <si>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</si>
  <si>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</si>
  <si>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</si>
  <si>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</si>
  <si>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</si>
  <si>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</si>
  <si>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</si>
  <si>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</si>
  <si>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</si>
  <si>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</si>
  <si>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</si>
  <si>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</si>
  <si>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</si>
  <si>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</si>
  <si>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</si>
  <si>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</si>
  <si>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</si>
  <si>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</si>
  <si>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</si>
  <si>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</si>
  <si>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</si>
  <si>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</si>
  <si>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</si>
  <si>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</si>
  <si>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</si>
  <si>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</si>
  <si>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</si>
  <si>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</si>
  <si>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</si>
  <si>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</si>
  <si>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</si>
  <si>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</si>
  <si>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</si>
  <si>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</si>
  <si>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</si>
  <si>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</si>
  <si>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</si>
  <si>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</si>
  <si>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</si>
  <si>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</si>
  <si>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</si>
  <si>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</si>
  <si>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</si>
  <si>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</si>
  <si>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</si>
  <si>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</si>
  <si>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</si>
  <si>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</si>
  <si>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</si>
  <si>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</si>
  <si>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</si>
  <si>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</si>
  <si>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</si>
  <si>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</si>
  <si>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</si>
  <si>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</si>
  <si>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</si>
  <si>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</si>
  <si>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</si>
  <si>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</si>
  <si>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</si>
  <si>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</si>
  <si>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</si>
  <si>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</si>
  <si>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</si>
  <si>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</si>
  <si>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</si>
  <si>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</si>
  <si>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</si>
  <si>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</si>
  <si>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</si>
  <si>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</si>
  <si>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</si>
  <si>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</si>
  <si>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</si>
  <si>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</si>
  <si>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</si>
  <si>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</si>
  <si>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</si>
  <si>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</si>
  <si>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</si>
  <si>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</si>
  <si>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</si>
  <si>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</si>
  <si>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</si>
  <si>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</si>
  <si>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</si>
  <si>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</si>
  <si>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</si>
  <si>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</si>
  <si>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</si>
  <si>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</si>
  <si>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</si>
  <si>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</si>
  <si>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</si>
  <si>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</si>
  <si>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</si>
  <si>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</si>
  <si>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</si>
  <si>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</si>
  <si>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</si>
  <si>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</si>
  <si>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</si>
  <si>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</si>
  <si>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</si>
  <si>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</si>
  <si>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</si>
  <si>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</si>
  <si>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</si>
  <si>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</si>
  <si>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</si>
  <si>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</si>
  <si>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</si>
  <si>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</si>
  <si>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</si>
  <si>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</si>
  <si>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</si>
  <si>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</si>
  <si>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</si>
  <si>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</si>
  <si>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</si>
  <si>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</si>
  <si>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</si>
  <si>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</si>
  <si>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</si>
  <si>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</si>
  <si>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</si>
  <si>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</si>
  <si>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</si>
  <si>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</si>
  <si>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</si>
  <si>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</si>
  <si>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</si>
  <si>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</si>
  <si>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</si>
  <si>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</si>
  <si>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</si>
  <si>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</si>
  <si>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</si>
  <si>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</si>
  <si>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</si>
  <si>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</si>
  <si>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</si>
  <si>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</si>
  <si>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</si>
  <si>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</si>
  <si>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</si>
  <si>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</si>
  <si>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</si>
  <si>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</si>
  <si>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</si>
  <si>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</si>
  <si>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</si>
  <si>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</si>
  <si>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</si>
  <si>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</si>
  <si>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</si>
  <si>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</si>
  <si>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</si>
  <si>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</si>
  <si>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</si>
  <si>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</si>
  <si>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</si>
  <si>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</si>
  <si>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</si>
  <si>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</si>
  <si>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</si>
  <si>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</si>
  <si>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</si>
  <si>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</si>
  <si>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</si>
  <si>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</si>
  <si>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</si>
  <si>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</si>
  <si>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</si>
  <si>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</si>
  <si>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</si>
  <si>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</si>
  <si>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</si>
  <si>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</si>
  <si>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</si>
  <si>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</si>
  <si>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</si>
  <si>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</si>
  <si>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</si>
  <si>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</si>
  <si>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</si>
  <si>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</si>
  <si>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</si>
  <si>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</si>
  <si>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</si>
  <si>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</si>
  <si>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</si>
  <si>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</si>
  <si>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</si>
  <si>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</si>
  <si>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</si>
  <si>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</si>
  <si>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</si>
  <si>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</si>
  <si>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</si>
  <si>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</si>
  <si>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</si>
  <si>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</si>
  <si>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</si>
  <si>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</si>
  <si>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</si>
  <si>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</si>
  <si>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</si>
  <si>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</si>
  <si>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</si>
  <si>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</si>
  <si>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</si>
  <si>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</si>
  <si>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</si>
  <si>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</si>
  <si>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</si>
  <si>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</si>
  <si>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</si>
  <si>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</si>
  <si>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</si>
  <si>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</si>
  <si>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</si>
  <si>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</si>
  <si>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</si>
  <si>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</si>
  <si>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</si>
  <si>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</si>
  <si>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</si>
  <si>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</si>
  <si>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</si>
  <si>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</si>
  <si>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</si>
  <si>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</si>
  <si>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</si>
  <si>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</si>
  <si>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</si>
  <si>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</si>
  <si>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</si>
  <si>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</si>
  <si>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</si>
  <si>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</si>
  <si>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</si>
  <si>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</si>
  <si>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</si>
  <si>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</si>
  <si>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</si>
  <si>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</si>
  <si>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</si>
  <si>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</si>
  <si>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</si>
  <si>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</si>
  <si>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</si>
  <si>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</si>
  <si>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</si>
  <si>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</si>
  <si>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</si>
  <si>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</si>
  <si>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</si>
  <si>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</si>
  <si>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</si>
  <si>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</si>
  <si>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</si>
  <si>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</si>
  <si>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</si>
  <si>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</si>
  <si>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</si>
  <si>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</si>
  <si>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</si>
  <si>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</si>
  <si>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</si>
  <si>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</si>
  <si>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</si>
  <si>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</si>
  <si>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</si>
  <si>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</si>
  <si>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</si>
  <si>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</si>
  <si>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</si>
  <si>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</si>
  <si>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</si>
  <si>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</si>
  <si>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</si>
  <si>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</si>
  <si>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</si>
  <si>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</si>
  <si>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</si>
  <si>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</si>
  <si>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</si>
  <si>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</si>
  <si>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</si>
  <si>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</si>
  <si>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</si>
  <si>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</si>
  <si>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</si>
  <si>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</si>
  <si>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</si>
  <si>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</si>
  <si>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</si>
  <si>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</si>
  <si>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</si>
  <si>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</si>
  <si>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</si>
  <si>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</si>
  <si>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</si>
  <si>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</si>
  <si>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</si>
  <si>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</si>
  <si>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</si>
  <si>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</si>
  <si>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</si>
  <si>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</si>
  <si>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</si>
  <si>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</si>
  <si>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</si>
  <si>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</si>
  <si>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</si>
  <si>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</si>
  <si>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</si>
  <si>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</si>
  <si>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</si>
  <si>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</si>
  <si>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</si>
  <si>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</si>
  <si>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</si>
  <si>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</si>
  <si>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</si>
  <si>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</si>
  <si>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</si>
  <si>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</si>
  <si>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</si>
  <si>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</si>
  <si>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</si>
  <si>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</si>
  <si>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</si>
  <si>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</si>
  <si>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</si>
  <si>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</si>
  <si>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</si>
  <si>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</si>
  <si>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</si>
  <si>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</si>
  <si>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</si>
  <si>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</si>
  <si>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</si>
  <si>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</si>
  <si>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</si>
  <si>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</si>
  <si>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</si>
  <si>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</si>
  <si>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</si>
  <si>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</si>
  <si>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</si>
  <si>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</si>
  <si>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</si>
  <si>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</si>
  <si>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</si>
  <si>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</si>
  <si>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</si>
  <si>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</si>
  <si>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</si>
  <si>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</si>
  <si>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</si>
  <si>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</si>
  <si>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</si>
  <si>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</si>
  <si>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</si>
  <si>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</si>
  <si>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</si>
  <si>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</si>
  <si>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</si>
  <si>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</si>
  <si>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</si>
  <si>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</si>
  <si>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</si>
  <si>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</si>
  <si>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</si>
  <si>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</si>
  <si>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</si>
  <si>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</si>
  <si>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</si>
  <si>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</si>
  <si>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</si>
  <si>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</si>
  <si>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</si>
  <si>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</si>
  <si>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</si>
  <si>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</si>
  <si>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</si>
  <si>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</si>
  <si>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</si>
  <si>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</si>
  <si>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</si>
  <si>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</si>
  <si>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</si>
  <si>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</si>
  <si>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</si>
  <si>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</si>
  <si>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</si>
  <si>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</si>
  <si>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</si>
  <si>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</si>
  <si>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</si>
  <si>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</si>
  <si>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</si>
  <si>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</si>
  <si>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</si>
  <si>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</si>
  <si>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</si>
  <si>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</si>
  <si>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</si>
  <si>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</si>
  <si>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</si>
  <si>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</si>
  <si>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</si>
  <si>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</si>
  <si>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</si>
  <si>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</si>
  <si>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</si>
  <si>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</si>
  <si>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</si>
  <si>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</si>
  <si>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</si>
  <si>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</si>
  <si>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</si>
  <si>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</si>
  <si>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</si>
  <si>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</si>
  <si>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</si>
  <si>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</si>
  <si>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</si>
  <si>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</si>
  <si>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</si>
  <si>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</si>
  <si>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</si>
  <si>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</si>
  <si>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</si>
  <si>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</si>
  <si>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</si>
  <si>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</si>
  <si>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</si>
  <si>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</si>
  <si>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</si>
  <si>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</si>
  <si>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</si>
  <si>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</si>
  <si>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</si>
  <si>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</si>
  <si>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</si>
  <si>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</si>
  <si>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</si>
  <si>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</si>
  <si>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</si>
  <si>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</si>
  <si>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</si>
  <si>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</si>
  <si>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</si>
  <si>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</si>
  <si>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</si>
  <si>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</si>
  <si>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</si>
  <si>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</si>
  <si>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</si>
  <si>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</si>
  <si>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</si>
  <si>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</si>
  <si>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</si>
  <si>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</si>
  <si>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</si>
  <si>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</si>
  <si>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</si>
  <si>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</si>
  <si>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</si>
  <si>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</si>
  <si>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</si>
  <si>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</si>
  <si>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</si>
  <si>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</si>
  <si>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</si>
  <si>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</si>
  <si>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</si>
  <si>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</si>
  <si>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</si>
  <si>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</si>
  <si>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</si>
  <si>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</si>
  <si>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</si>
  <si>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</si>
  <si>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</si>
  <si>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</si>
  <si>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</si>
  <si>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</si>
  <si>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</si>
  <si>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</si>
  <si>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</si>
  <si>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</si>
  <si>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</si>
  <si>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</si>
  <si>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</si>
  <si>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</si>
  <si>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</si>
  <si>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</si>
  <si>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</si>
  <si>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</si>
  <si>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</si>
  <si>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</si>
  <si>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</si>
  <si>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</si>
  <si>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</si>
  <si>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</si>
  <si>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</si>
  <si>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</si>
  <si>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</si>
  <si>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</si>
  <si>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</si>
  <si>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</si>
  <si>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</si>
  <si>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</si>
  <si>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</si>
  <si>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</si>
  <si>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</si>
  <si>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</si>
  <si>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</si>
  <si>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</si>
  <si>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</si>
  <si>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</si>
  <si>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</si>
  <si>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</si>
  <si>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</si>
  <si>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</si>
  <si>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</si>
  <si>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</si>
  <si>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</si>
  <si>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</si>
  <si>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</si>
  <si>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</si>
  <si>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</si>
  <si>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</si>
  <si>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</si>
  <si>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</si>
  <si>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</si>
  <si>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</si>
  <si>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</si>
  <si>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</si>
  <si>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</si>
  <si>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</si>
  <si>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</si>
  <si>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</si>
  <si>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</si>
  <si>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</si>
  <si>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</si>
  <si>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</si>
  <si>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</si>
  <si>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</si>
  <si>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</si>
  <si>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</si>
  <si>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</si>
  <si>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</si>
  <si>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</si>
  <si>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</si>
  <si>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</si>
  <si>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</si>
  <si>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</si>
  <si>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</si>
  <si>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</si>
  <si>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</si>
  <si>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</si>
  <si>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</si>
  <si>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</si>
  <si>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</si>
  <si>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</si>
  <si>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</si>
  <si>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</si>
  <si>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</si>
  <si>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</si>
  <si>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</si>
  <si>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</si>
  <si>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</si>
  <si>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</si>
  <si>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</si>
  <si>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</si>
  <si>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</si>
  <si>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</si>
  <si>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</si>
  <si>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</si>
  <si>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</si>
  <si>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</si>
  <si>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</si>
  <si>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</si>
  <si>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</si>
  <si>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</si>
  <si>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</si>
  <si>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</si>
  <si>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</si>
  <si>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</si>
  <si>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</si>
  <si>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</si>
  <si>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</si>
  <si>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</si>
  <si>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</si>
  <si>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</si>
  <si>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</si>
  <si>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</si>
  <si>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</si>
  <si>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</si>
  <si>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</si>
  <si>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</si>
  <si>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</si>
  <si>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</si>
  <si>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</si>
  <si>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</si>
  <si>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</si>
  <si>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</si>
  <si>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</si>
  <si>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</si>
  <si>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</si>
  <si>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</si>
  <si>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</si>
  <si>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</si>
  <si>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</si>
  <si>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</si>
  <si>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</si>
  <si>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</si>
  <si>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</si>
  <si>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</si>
  <si>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</si>
  <si>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</si>
  <si>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</si>
  <si>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</si>
  <si>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</si>
  <si>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</si>
  <si>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</si>
  <si>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</si>
  <si>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</si>
  <si>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</si>
  <si>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</si>
  <si>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</si>
  <si>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</si>
  <si>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</si>
  <si>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</si>
  <si>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</si>
  <si>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</si>
  <si>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</si>
  <si>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</si>
  <si>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</si>
  <si>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</si>
  <si>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</si>
  <si>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</si>
  <si>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</si>
  <si>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</si>
  <si>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</si>
  <si>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</si>
  <si>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</si>
  <si>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</si>
  <si>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</si>
  <si>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</si>
  <si>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</si>
  <si>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</si>
  <si>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</si>
  <si>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</si>
  <si>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</si>
  <si>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</si>
  <si>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</si>
  <si>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</si>
  <si>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</si>
  <si>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</si>
  <si>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</si>
  <si>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</si>
  <si>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</si>
  <si>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</si>
  <si>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</si>
  <si>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</si>
  <si>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</si>
  <si>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</si>
  <si>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</si>
  <si>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</si>
  <si>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</si>
  <si>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</si>
  <si>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</si>
  <si>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</si>
  <si>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</si>
  <si>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</si>
  <si>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</si>
  <si>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</si>
  <si>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</si>
  <si>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</si>
  <si>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</si>
  <si>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</si>
  <si>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</si>
  <si>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</si>
  <si>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</si>
  <si>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</si>
  <si>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</si>
  <si>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</si>
  <si>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</si>
  <si>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</si>
  <si>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</si>
  <si>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</si>
  <si>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</si>
  <si>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</si>
  <si>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</si>
  <si>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</si>
  <si>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</si>
  <si>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</si>
  <si>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</si>
  <si>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</si>
  <si>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</si>
  <si>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</si>
  <si>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</si>
  <si>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</si>
  <si>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</si>
  <si>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</si>
  <si>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</si>
  <si>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</si>
  <si>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</si>
  <si>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</si>
  <si>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</si>
  <si>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</si>
  <si>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</si>
  <si>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</si>
  <si>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</si>
  <si>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</si>
  <si>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</si>
  <si>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</si>
  <si>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</si>
  <si>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</si>
  <si>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</si>
  <si>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</si>
  <si>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</si>
  <si>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</si>
  <si>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</si>
  <si>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</si>
  <si>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</si>
  <si>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</si>
  <si>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</si>
  <si>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</si>
  <si>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</si>
  <si>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</si>
  <si>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</si>
  <si>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</si>
  <si>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</si>
  <si>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</si>
  <si>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</si>
  <si>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</si>
  <si>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</si>
  <si>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</si>
  <si>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</si>
  <si>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</si>
  <si>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</si>
  <si>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</si>
  <si>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</si>
  <si>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</si>
  <si>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</si>
  <si>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</si>
  <si>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</si>
  <si>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</si>
  <si>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</si>
  <si>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</si>
  <si>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</si>
  <si>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</si>
  <si>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</si>
  <si>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</si>
  <si>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</si>
  <si>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</si>
  <si>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</si>
  <si>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</si>
  <si>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</si>
  <si>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</si>
  <si>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</si>
  <si>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</si>
  <si>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</si>
  <si>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</si>
  <si>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</si>
  <si>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</si>
  <si>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</si>
  <si>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</si>
  <si>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</si>
  <si>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</si>
  <si>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</si>
  <si>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</si>
  <si>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</si>
  <si>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</si>
  <si>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</si>
  <si>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</si>
  <si>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</si>
  <si>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</si>
  <si>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</si>
  <si>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</si>
  <si>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</si>
  <si>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</si>
  <si>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</si>
  <si>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</si>
  <si>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</si>
  <si>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</si>
  <si>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</si>
  <si>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</si>
  <si>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</si>
  <si>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</si>
  <si>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</si>
  <si>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</si>
  <si>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</si>
  <si>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</si>
  <si>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</si>
  <si>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</si>
  <si>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</si>
  <si>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</si>
  <si>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</si>
  <si>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</si>
  <si>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</si>
  <si>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</si>
  <si>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</si>
  <si>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</si>
  <si>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</si>
  <si>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</si>
  <si>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</si>
  <si>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</si>
  <si>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</si>
  <si>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</si>
  <si>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</si>
  <si>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</si>
  <si>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</si>
  <si>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</si>
  <si>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</si>
  <si>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</si>
  <si>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</si>
  <si>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</si>
  <si>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</si>
  <si>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</si>
  <si>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</si>
  <si>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</si>
  <si>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</si>
  <si>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</si>
  <si>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</si>
  <si>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</si>
  <si>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</si>
  <si>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</si>
  <si>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</si>
  <si>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</si>
  <si>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</si>
  <si>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</si>
  <si>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</si>
  <si>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</si>
  <si>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</si>
  <si>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</si>
  <si>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</si>
  <si>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</si>
  <si>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</si>
  <si>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</si>
  <si>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</si>
  <si>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</si>
  <si>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</si>
  <si>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</si>
  <si>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</si>
  <si>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</si>
  <si>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</si>
  <si>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</si>
  <si>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</si>
  <si>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</si>
  <si>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</si>
  <si>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</si>
  <si>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</si>
  <si>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</si>
  <si>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</si>
  <si>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</si>
  <si>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</si>
  <si>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</si>
  <si>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</si>
  <si>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</si>
  <si>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</si>
  <si>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</si>
  <si>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</si>
  <si>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</si>
  <si>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</si>
  <si>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</si>
  <si>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</si>
  <si>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</si>
  <si>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</si>
  <si>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</si>
  <si>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</si>
  <si>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</si>
  <si>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</si>
  <si>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</si>
  <si>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</si>
  <si>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</si>
  <si>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</si>
  <si>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</si>
  <si>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</si>
  <si>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</si>
  <si>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</si>
  <si>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</si>
  <si>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</si>
  <si>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</si>
  <si>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</si>
  <si>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</si>
  <si>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</si>
  <si>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</si>
  <si>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</si>
  <si>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</si>
  <si>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</si>
  <si>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</si>
  <si>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</si>
  <si>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</si>
  <si>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</si>
  <si>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</si>
  <si>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</si>
  <si>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</si>
  <si>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</si>
  <si>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</si>
  <si>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</si>
  <si>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</si>
  <si>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</si>
  <si>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</si>
  <si>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</si>
  <si>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</si>
  <si>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</si>
  <si>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</si>
  <si>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</si>
  <si>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</si>
  <si>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</si>
  <si>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</si>
  <si>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</si>
  <si>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</si>
  <si>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</si>
  <si>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</si>
  <si>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</si>
  <si>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</si>
  <si>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</si>
  <si>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</si>
  <si>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</si>
  <si>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</si>
  <si>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</si>
  <si>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</si>
  <si>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</si>
  <si>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</si>
  <si>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</si>
  <si>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</si>
  <si>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</si>
  <si>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</si>
  <si>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</si>
  <si>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</si>
  <si>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</si>
  <si>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</si>
  <si>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</si>
  <si>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</si>
  <si>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</si>
  <si>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</si>
  <si>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</si>
  <si>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</si>
  <si>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</si>
  <si>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</si>
  <si>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</si>
  <si>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</si>
  <si>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</si>
  <si>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</si>
  <si>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</si>
  <si>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</si>
  <si>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</si>
  <si>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</si>
  <si>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</si>
  <si>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</si>
  <si>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</si>
  <si>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</si>
  <si>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</si>
  <si>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</si>
  <si>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</si>
  <si>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</si>
  <si>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</si>
  <si>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</si>
  <si>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</si>
  <si>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</si>
  <si>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</si>
  <si>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</si>
  <si>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</si>
  <si>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</si>
  <si>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</si>
  <si>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</si>
  <si>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</si>
  <si>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</si>
  <si>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</si>
  <si>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</si>
  <si>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</si>
  <si>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</si>
  <si>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</si>
  <si>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</si>
  <si>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</si>
  <si>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</si>
  <si>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</si>
  <si>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</si>
  <si>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</si>
  <si>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</si>
  <si>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</si>
  <si>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</si>
  <si>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</si>
  <si>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</si>
  <si>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</si>
  <si>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</si>
  <si>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</si>
  <si>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</si>
  <si>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</si>
  <si>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</si>
  <si>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</si>
  <si>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</si>
  <si>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</si>
  <si>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</si>
  <si>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</si>
  <si>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</si>
  <si>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</si>
  <si>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</si>
  <si>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</si>
  <si>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</si>
  <si>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</si>
  <si>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</si>
  <si>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</si>
  <si>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</si>
  <si>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</si>
  <si>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</si>
  <si>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</si>
  <si>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</si>
  <si>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</si>
  <si>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</si>
  <si>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</si>
  <si>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</si>
  <si>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</si>
  <si>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</si>
  <si>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</si>
  <si>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</si>
  <si>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</si>
  <si>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</si>
  <si>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</si>
  <si>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</si>
  <si>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</si>
  <si>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</si>
  <si>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</si>
  <si>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</si>
  <si>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</si>
  <si>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</si>
  <si>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</si>
  <si>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</si>
  <si>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</si>
  <si>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</si>
  <si>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</si>
  <si>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</si>
  <si>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</si>
  <si>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</si>
  <si>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</si>
  <si>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</si>
  <si>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</si>
  <si>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</si>
  <si>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</si>
  <si>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</si>
  <si>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</si>
  <si>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</si>
  <si>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</si>
  <si>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</si>
  <si>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</si>
  <si>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</si>
  <si>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</si>
  <si>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</si>
  <si>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</si>
  <si>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</si>
  <si>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</si>
  <si>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</si>
  <si>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</si>
  <si>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</si>
  <si>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</si>
  <si>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</si>
  <si>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</si>
  <si>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</si>
  <si>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</si>
  <si>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</si>
  <si>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</si>
  <si>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</si>
  <si>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</si>
  <si>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</si>
  <si>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</si>
  <si>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</si>
  <si>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</si>
  <si>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</si>
  <si>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</si>
  <si>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</si>
  <si>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</si>
  <si>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</si>
  <si>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</si>
  <si>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</si>
  <si>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</si>
  <si>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</si>
  <si>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</si>
  <si>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</si>
  <si>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</si>
  <si>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</si>
  <si>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</si>
  <si>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</si>
  <si>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</si>
  <si>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</si>
  <si>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</si>
  <si>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</si>
  <si>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</si>
  <si>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</si>
  <si>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</si>
  <si>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</si>
  <si>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</si>
  <si>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</si>
  <si>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</si>
  <si>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</si>
  <si>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</si>
  <si>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</si>
  <si>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</si>
  <si>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</si>
  <si>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</si>
  <si>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</si>
  <si>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</si>
  <si>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</si>
  <si>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</si>
  <si>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</si>
  <si>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</si>
  <si>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</si>
  <si>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</si>
  <si>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</si>
  <si>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</si>
  <si>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</si>
  <si>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</si>
  <si>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</si>
  <si>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</si>
  <si>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</si>
  <si>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</si>
  <si>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</si>
  <si>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</si>
  <si>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</si>
  <si>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</si>
  <si>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</si>
  <si>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</si>
  <si>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</si>
  <si>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</si>
  <si>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</si>
  <si>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</si>
  <si>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</si>
  <si>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</si>
  <si>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</si>
  <si>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</si>
  <si>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</si>
  <si>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</si>
  <si>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</si>
  <si>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</si>
  <si>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</si>
  <si>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</si>
  <si>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</si>
  <si>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</si>
  <si>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</si>
  <si>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</si>
  <si>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</si>
  <si>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</si>
  <si>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</si>
  <si>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</si>
  <si>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</si>
  <si>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</si>
  <si>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</si>
  <si>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</si>
  <si>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</si>
  <si>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</si>
  <si>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</si>
  <si>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</si>
  <si>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</si>
  <si>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</si>
  <si>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</si>
  <si>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</si>
  <si>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</si>
  <si>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</si>
  <si>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</si>
  <si>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</si>
  <si>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</si>
  <si>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</si>
  <si>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</si>
  <si>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</si>
  <si>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</si>
  <si>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</si>
  <si>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</si>
  <si>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</si>
  <si>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</si>
  <si>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</si>
  <si>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</si>
  <si>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</si>
  <si>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</si>
  <si>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</si>
  <si>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</si>
  <si>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</si>
  <si>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</si>
  <si>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</si>
  <si>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</si>
  <si>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</si>
  <si>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</si>
  <si>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</si>
  <si>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</si>
  <si>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</si>
  <si>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</si>
  <si>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</si>
  <si>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</si>
  <si>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</si>
  <si>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</si>
  <si>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</si>
  <si>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</si>
  <si>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</si>
  <si>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</si>
  <si>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</si>
  <si>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</si>
  <si>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</si>
  <si>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</si>
  <si>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</si>
  <si>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</si>
  <si>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</si>
  <si>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</si>
  <si>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</si>
  <si>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</si>
  <si>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</si>
  <si>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</si>
  <si>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</si>
  <si>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</si>
  <si>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</si>
  <si>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</si>
  <si>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</si>
  <si>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</si>
  <si>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</si>
  <si>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</si>
  <si>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</si>
  <si>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</si>
  <si>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</si>
  <si>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</si>
  <si>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</si>
  <si>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</si>
  <si>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</si>
  <si>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</si>
  <si>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</si>
  <si>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</si>
  <si>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</si>
  <si>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</si>
  <si>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</si>
  <si>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</si>
  <si>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</si>
  <si>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</si>
  <si>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</si>
  <si>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</si>
  <si>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</si>
  <si>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</si>
  <si>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</si>
  <si>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</si>
  <si>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</si>
  <si>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</si>
  <si>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</si>
  <si>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</si>
  <si>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</si>
  <si>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</si>
  <si>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</si>
  <si>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</si>
  <si>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</si>
  <si>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</si>
  <si>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</si>
  <si>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</si>
  <si>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</si>
  <si>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</si>
  <si>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</si>
  <si>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</si>
  <si>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</si>
  <si>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</si>
  <si>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</si>
  <si>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</si>
  <si>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</si>
  <si>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</si>
  <si>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</si>
  <si>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</si>
  <si>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</si>
  <si>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</si>
  <si>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</si>
  <si>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</si>
  <si>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</si>
  <si>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</si>
  <si>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</si>
  <si>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</si>
  <si>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</si>
  <si>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</si>
  <si>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</si>
  <si>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</si>
  <si>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</si>
  <si>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</si>
  <si>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</si>
  <si>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</si>
  <si>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</si>
  <si>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</si>
  <si>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</si>
  <si>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</si>
  <si>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</si>
  <si>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</si>
  <si>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</si>
  <si>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</si>
  <si>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</si>
  <si>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</si>
  <si>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</si>
  <si>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</si>
  <si>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</si>
  <si>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</si>
  <si>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</si>
  <si>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</si>
  <si>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</si>
  <si>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</si>
  <si>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</si>
  <si>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</si>
  <si>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</si>
  <si>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</si>
  <si>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</si>
  <si>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</si>
  <si>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</si>
  <si>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</si>
  <si>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</si>
  <si>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</si>
  <si>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</si>
  <si>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</si>
  <si>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</si>
  <si>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</si>
  <si>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</si>
  <si>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</si>
  <si>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</si>
  <si>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</si>
  <si>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</si>
  <si>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</si>
  <si>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</si>
  <si>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</si>
  <si>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</si>
  <si>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</si>
  <si>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</si>
  <si>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</si>
  <si>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</si>
  <si>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</si>
  <si>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</si>
  <si>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</si>
  <si>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</si>
  <si>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</si>
  <si>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</si>
  <si>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</si>
  <si>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</si>
  <si>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</si>
  <si>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</si>
  <si>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</si>
  <si>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</si>
  <si>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</si>
  <si>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</si>
  <si>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</si>
  <si>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</si>
  <si>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</si>
  <si>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</si>
  <si>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</si>
  <si>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</si>
  <si>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</si>
  <si>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</si>
  <si>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</si>
  <si>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</si>
  <si>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</si>
  <si>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</si>
  <si>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</si>
  <si>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</si>
  <si>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</si>
  <si>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</si>
  <si>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</si>
  <si>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</si>
  <si>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</si>
  <si>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</si>
  <si>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</si>
  <si>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</si>
  <si>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</si>
  <si>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</si>
  <si>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</si>
  <si>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</si>
  <si>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</si>
  <si>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</si>
  <si>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</si>
  <si>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</si>
  <si>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</si>
  <si>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</si>
  <si>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</si>
  <si>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</si>
  <si>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</si>
  <si>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</si>
  <si>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</si>
  <si>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</si>
  <si>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</si>
  <si>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</si>
  <si>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</si>
  <si>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</si>
  <si>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</si>
  <si>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</si>
  <si>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</si>
  <si>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</si>
  <si>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</si>
  <si>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</si>
  <si>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</si>
  <si>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</si>
  <si>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</si>
  <si>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</si>
  <si>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</si>
  <si>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</si>
  <si>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</si>
  <si>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</si>
  <si>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</si>
  <si>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</si>
  <si>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</si>
  <si>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</si>
  <si>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</si>
  <si>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</si>
  <si>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</si>
  <si>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</si>
  <si>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</si>
  <si>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</si>
  <si>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</si>
  <si>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</si>
  <si>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</si>
  <si>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</si>
  <si>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</si>
  <si>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</si>
  <si>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</si>
  <si>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</si>
  <si>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</si>
  <si>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</si>
  <si>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</si>
  <si>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</si>
  <si>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</si>
  <si>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</si>
  <si>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</si>
  <si>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</si>
  <si>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</si>
  <si>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</si>
  <si>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</si>
  <si>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</si>
  <si>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</si>
  <si>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</si>
  <si>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</si>
  <si>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</si>
  <si>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</si>
  <si>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</si>
  <si>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</si>
  <si>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</si>
  <si>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</si>
  <si>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</si>
  <si>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</si>
  <si>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</si>
  <si>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</si>
  <si>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</si>
  <si>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</si>
  <si>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</si>
  <si>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</si>
  <si>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</si>
  <si>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</si>
  <si>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</si>
  <si>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</si>
  <si>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</si>
  <si>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</si>
  <si>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</si>
  <si>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</si>
  <si>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</si>
  <si>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</si>
  <si>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</si>
  <si>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</si>
  <si>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</si>
  <si>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</si>
  <si>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</si>
  <si>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</si>
  <si>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</si>
  <si>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</si>
  <si>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</si>
  <si>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</si>
  <si>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</si>
  <si>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</si>
  <si>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</si>
  <si>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</si>
  <si>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</si>
  <si>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</si>
  <si>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</si>
  <si>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</si>
  <si>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</si>
  <si>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</si>
  <si>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</si>
  <si>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</si>
  <si>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</si>
  <si>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</si>
  <si>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</si>
  <si>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</si>
  <si>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</si>
  <si>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</si>
  <si>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</si>
  <si>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</si>
  <si>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</si>
  <si>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</si>
  <si>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</si>
  <si>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</si>
  <si>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</si>
  <si>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</si>
  <si>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</si>
  <si>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</si>
  <si>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</si>
  <si>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</si>
  <si>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</si>
  <si>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</si>
  <si>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</si>
  <si>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</si>
  <si>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</si>
  <si>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</si>
  <si>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</si>
  <si>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</si>
  <si>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</si>
  <si>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</si>
  <si>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</si>
  <si>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</si>
  <si>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</si>
  <si>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</si>
  <si>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</si>
  <si>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</si>
  <si>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</si>
  <si>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</si>
  <si>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</si>
  <si>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</si>
  <si>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</si>
  <si>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</si>
  <si>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</si>
  <si>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</si>
  <si>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</si>
  <si>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</si>
  <si>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</si>
  <si>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</si>
  <si>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</si>
  <si>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</si>
  <si>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</si>
  <si>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</si>
  <si>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</si>
  <si>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</si>
  <si>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</si>
  <si>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</si>
  <si>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</si>
  <si>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</si>
  <si>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</si>
  <si>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</si>
  <si>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</si>
  <si>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</si>
  <si>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</si>
  <si>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</si>
  <si>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</si>
  <si>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</si>
  <si>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</si>
  <si>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</si>
  <si>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</si>
  <si>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</si>
  <si>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</si>
  <si>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</si>
  <si>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</si>
  <si>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</si>
  <si>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</si>
  <si>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</si>
  <si>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</si>
  <si>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</si>
  <si>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</si>
  <si>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</si>
  <si>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</si>
  <si>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</si>
  <si>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</si>
  <si>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</si>
  <si>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</si>
  <si>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</si>
  <si>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</si>
  <si>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</si>
  <si>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</si>
  <si>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</si>
  <si>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</si>
  <si>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</si>
  <si>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</si>
  <si>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</si>
  <si>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</si>
  <si>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</si>
  <si>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</si>
  <si>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</si>
  <si>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</si>
  <si>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</si>
  <si>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</si>
  <si>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</si>
  <si>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</si>
  <si>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</si>
  <si>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</si>
  <si>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</si>
  <si>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</si>
  <si>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</si>
  <si>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</si>
  <si>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</si>
  <si>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</si>
  <si>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</si>
  <si>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</si>
  <si>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</si>
  <si>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</si>
  <si>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</si>
  <si>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</si>
  <si>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</si>
  <si>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</si>
  <si>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</si>
  <si>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</si>
  <si>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</si>
  <si>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</si>
  <si>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</si>
  <si>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</si>
  <si>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</si>
  <si>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</si>
  <si>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</si>
  <si>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</si>
  <si>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</si>
  <si>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</si>
  <si>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</si>
  <si>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</si>
  <si>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</si>
  <si>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</si>
  <si>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</si>
  <si>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</si>
  <si>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</si>
  <si>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</si>
  <si>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</si>
  <si>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</si>
  <si>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</si>
  <si>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</si>
  <si>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</si>
  <si>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</si>
  <si>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</si>
  <si>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</si>
  <si>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</si>
  <si>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</si>
  <si>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</si>
  <si>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</si>
  <si>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</si>
  <si>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</si>
  <si>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</si>
  <si>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</si>
  <si>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</si>
  <si>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</si>
  <si>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</si>
  <si>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</si>
  <si>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</si>
  <si>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</si>
  <si>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</si>
  <si>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</si>
  <si>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</si>
  <si>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</si>
  <si>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</si>
  <si>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</si>
  <si>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</si>
  <si>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</si>
  <si>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</si>
  <si>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</si>
  <si>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</si>
  <si>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</si>
  <si>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</si>
  <si>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</si>
  <si>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</si>
  <si>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</si>
  <si>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</si>
  <si>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</si>
  <si>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</si>
  <si>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</si>
  <si>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</si>
  <si>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</si>
  <si>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</si>
  <si>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</si>
  <si>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</si>
  <si>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</si>
  <si>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</si>
  <si>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</si>
  <si>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</si>
  <si>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</si>
  <si>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</si>
  <si>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</si>
  <si>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</si>
  <si>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</si>
  <si>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</si>
  <si>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</si>
  <si>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</si>
  <si>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</si>
  <si>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</si>
  <si>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</si>
  <si>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</si>
  <si>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</si>
  <si>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</si>
  <si>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</si>
  <si>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</si>
  <si>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</si>
  <si>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</si>
  <si>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</si>
  <si>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</si>
  <si>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</si>
  <si>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</si>
  <si>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</si>
  <si>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</si>
  <si>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</si>
  <si>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</si>
  <si>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</si>
  <si>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</si>
  <si>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</si>
  <si>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</si>
  <si>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</si>
  <si>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</si>
  <si>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</si>
  <si>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</si>
  <si>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</si>
  <si>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</si>
  <si>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</si>
  <si>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</si>
  <si>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</si>
  <si>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</si>
  <si>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</si>
  <si>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</si>
  <si>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</si>
  <si>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</si>
  <si>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</si>
  <si>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</si>
  <si>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</si>
  <si>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</si>
  <si>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</si>
  <si>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</si>
  <si>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</si>
  <si>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</si>
  <si>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</si>
  <si>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</si>
  <si>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</si>
  <si>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</si>
  <si>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</si>
  <si>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</si>
  <si>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</si>
  <si>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</si>
  <si>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</si>
  <si>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</si>
  <si>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</si>
  <si>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</si>
  <si>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</si>
  <si>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</si>
  <si>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</si>
  <si>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</si>
  <si>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</si>
  <si>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</si>
  <si>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</si>
  <si>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</si>
  <si>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</si>
  <si>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</si>
  <si>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</si>
  <si>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</si>
  <si>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</si>
  <si>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</si>
  <si>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</si>
  <si>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</si>
  <si>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</si>
  <si>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</si>
  <si>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</si>
  <si>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</si>
  <si>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</si>
  <si>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</si>
  <si>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</si>
  <si>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</si>
  <si>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</si>
  <si>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</si>
  <si>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</si>
  <si>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</si>
  <si>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</si>
  <si>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</si>
  <si>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</si>
  <si>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</si>
  <si>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</si>
  <si>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</si>
  <si>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</si>
  <si>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</si>
  <si>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</si>
  <si>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</si>
  <si>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</si>
  <si>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</si>
  <si>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</si>
  <si>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</si>
  <si>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</si>
  <si>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</si>
  <si>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</si>
  <si>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</si>
  <si>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</si>
  <si>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</si>
  <si>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</si>
  <si>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</si>
  <si>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</si>
  <si>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</si>
  <si>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</si>
  <si>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</si>
  <si>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</si>
  <si>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</si>
  <si>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</si>
  <si>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</si>
  <si>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</si>
  <si>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</si>
  <si>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</si>
  <si>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</si>
  <si>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</si>
  <si>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</si>
  <si>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</si>
  <si>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</si>
  <si>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</si>
  <si>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</si>
  <si>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</si>
  <si>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</si>
  <si>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</si>
  <si>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</si>
  <si>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</si>
  <si>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</si>
  <si>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</si>
  <si>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</si>
  <si>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</si>
  <si>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</si>
  <si>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</si>
  <si>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</si>
  <si>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</si>
  <si>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</si>
  <si>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</si>
  <si>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</si>
  <si>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</si>
  <si>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</si>
  <si>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</si>
  <si>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</si>
  <si>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</si>
  <si>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</si>
  <si>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</si>
  <si>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</si>
  <si>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</si>
  <si>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</si>
  <si>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</si>
  <si>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</si>
  <si>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</si>
  <si>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</si>
  <si>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</si>
  <si>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</si>
  <si>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</si>
  <si>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</si>
  <si>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</si>
  <si>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</si>
  <si>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</si>
  <si>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</si>
  <si>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</si>
  <si>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</si>
  <si>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</si>
  <si>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</si>
  <si>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</si>
  <si>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</si>
  <si>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</si>
  <si>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</si>
  <si>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</si>
  <si>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</si>
  <si>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</si>
  <si>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</si>
  <si>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</si>
  <si>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</si>
  <si>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</si>
  <si>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</si>
  <si>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</si>
  <si>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</si>
  <si>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</si>
  <si>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</si>
  <si>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</si>
  <si>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</si>
  <si>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</si>
  <si>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</si>
  <si>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</si>
  <si>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</si>
  <si>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</si>
  <si>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</si>
  <si>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</si>
  <si>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</si>
  <si>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</si>
  <si>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</si>
  <si>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</si>
  <si>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</si>
  <si>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</si>
  <si>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</si>
  <si>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</si>
  <si>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</si>
  <si>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</si>
  <si>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</si>
  <si>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</si>
  <si>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</si>
  <si>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</si>
  <si>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</si>
  <si>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</si>
  <si>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</si>
  <si>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</si>
  <si>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</si>
  <si>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</si>
  <si>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</si>
  <si>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</si>
  <si>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</si>
  <si>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</si>
  <si>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</si>
  <si>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</si>
  <si>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</si>
  <si>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</si>
  <si>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</si>
  <si>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</si>
  <si>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</si>
  <si>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</si>
  <si>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</si>
  <si>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</si>
  <si>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</si>
  <si>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</si>
  <si>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</si>
  <si>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</si>
  <si>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</si>
  <si>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</si>
  <si>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</si>
  <si>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</si>
  <si>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</si>
  <si>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</si>
  <si>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</si>
  <si>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</si>
  <si>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</si>
  <si>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</si>
  <si>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</si>
  <si>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</si>
  <si>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</si>
  <si>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</si>
  <si>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</si>
  <si>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</si>
  <si>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</si>
  <si>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</si>
  <si>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</si>
  <si>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</si>
  <si>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</si>
  <si>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</si>
  <si>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</si>
  <si>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</si>
  <si>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</si>
  <si>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</si>
  <si>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</si>
  <si>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</si>
  <si>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</si>
  <si>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</si>
  <si>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</si>
  <si>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</si>
  <si>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</si>
  <si>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</si>
  <si>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</si>
  <si>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</si>
  <si>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</si>
  <si>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</si>
  <si>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</si>
  <si>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</si>
  <si>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</si>
  <si>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</si>
  <si>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</si>
  <si>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</si>
  <si>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</si>
  <si>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</si>
  <si>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</si>
  <si>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</si>
  <si>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</si>
  <si>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</si>
  <si>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</si>
  <si>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</si>
  <si>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</si>
  <si>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</si>
  <si>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</si>
  <si>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</si>
  <si>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</si>
  <si>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</si>
  <si>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</si>
  <si>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</si>
  <si>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</si>
  <si>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</si>
  <si>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</si>
  <si>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</si>
  <si>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</si>
  <si>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</si>
  <si>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</si>
  <si>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</si>
  <si>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</si>
  <si>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</si>
  <si>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</si>
  <si>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</si>
  <si>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</si>
  <si>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</si>
  <si>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</si>
  <si>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</si>
  <si>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</si>
  <si>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</si>
  <si>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</si>
  <si>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</si>
  <si>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</si>
  <si>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</si>
  <si>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</si>
  <si>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</si>
  <si>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</si>
  <si>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</si>
  <si>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</si>
  <si>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</si>
  <si>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</si>
  <si>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</si>
  <si>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</si>
  <si>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</si>
  <si>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</si>
  <si>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</si>
  <si>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</si>
  <si>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</si>
  <si>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</si>
  <si>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</si>
  <si>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</si>
  <si>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</si>
  <si>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</si>
  <si>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</si>
  <si>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</si>
  <si>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</si>
  <si>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</si>
  <si>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</si>
  <si>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</si>
  <si>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</si>
  <si>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</si>
  <si>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</si>
  <si>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</si>
  <si>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</si>
  <si>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</si>
  <si>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</si>
  <si>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</si>
  <si>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</si>
  <si>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</si>
  <si>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</si>
  <si>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</si>
  <si>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</si>
  <si>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</si>
  <si>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</si>
  <si>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</si>
  <si>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</si>
  <si>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</si>
  <si>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</si>
  <si>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</si>
  <si>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</si>
  <si>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</si>
  <si>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</si>
  <si>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</si>
  <si>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</si>
  <si>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</si>
  <si>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</si>
  <si>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</si>
  <si>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</si>
  <si>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</si>
  <si>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</si>
  <si>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</si>
  <si>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</si>
  <si>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</si>
  <si>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</si>
  <si>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</si>
  <si>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</si>
  <si>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</si>
  <si>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</si>
  <si>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</si>
  <si>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</si>
  <si>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</si>
  <si>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</si>
  <si>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</si>
  <si>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</si>
  <si>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</si>
  <si>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</si>
  <si>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</si>
  <si>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</si>
  <si>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</si>
  <si>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</si>
  <si>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</si>
  <si>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</si>
  <si>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</si>
  <si>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</si>
  <si>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</si>
  <si>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</si>
  <si>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</si>
  <si>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</si>
  <si>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</si>
  <si>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</si>
  <si>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</si>
  <si>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</si>
  <si>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</si>
  <si>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</si>
  <si>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</si>
  <si>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</si>
  <si>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</si>
  <si>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</si>
  <si>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</si>
  <si>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</si>
  <si>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</si>
  <si>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</si>
  <si>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</si>
  <si>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</si>
  <si>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</si>
  <si>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</si>
  <si>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</si>
  <si>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</si>
  <si>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</si>
  <si>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</si>
  <si>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</si>
  <si>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</si>
  <si>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</si>
  <si>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</si>
  <si>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</si>
  <si>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</si>
  <si>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</si>
  <si>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</si>
  <si>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</si>
  <si>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</si>
  <si>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</si>
  <si>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</si>
  <si>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</si>
  <si>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</si>
  <si>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</si>
  <si>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</si>
  <si>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</si>
  <si>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</si>
  <si>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</si>
  <si>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</si>
  <si>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</si>
  <si>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</si>
  <si>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</si>
  <si>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</si>
  <si>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</si>
  <si>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</si>
  <si>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</si>
  <si>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</si>
  <si>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</si>
  <si>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</si>
  <si>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</si>
  <si>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</si>
  <si>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</si>
  <si>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</si>
  <si>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</si>
  <si>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</si>
  <si>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</si>
  <si>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</si>
  <si>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</si>
  <si>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</si>
  <si>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</si>
  <si>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</si>
  <si>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</si>
  <si>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</si>
  <si>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</si>
  <si>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</si>
  <si>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</si>
  <si>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</si>
  <si>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</si>
  <si>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</si>
  <si>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</si>
  <si>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</si>
  <si>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</si>
  <si>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</si>
  <si>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</si>
  <si>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</si>
  <si>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</si>
  <si>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</si>
  <si>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</si>
  <si>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</si>
  <si>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</si>
  <si>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</si>
  <si>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</si>
  <si>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</si>
  <si>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</si>
  <si>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</si>
  <si>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</si>
  <si>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</si>
  <si>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</si>
  <si>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</si>
  <si>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</si>
  <si>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</si>
  <si>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</si>
  <si>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</si>
  <si>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</si>
  <si>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</si>
  <si>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</si>
  <si>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</si>
  <si>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</si>
  <si>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</si>
  <si>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</si>
  <si>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</si>
  <si>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</si>
  <si>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</si>
  <si>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</si>
  <si>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</si>
  <si>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</si>
  <si>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</si>
  <si>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</si>
  <si>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</si>
  <si>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</si>
  <si>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</si>
  <si>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</si>
  <si>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</si>
  <si>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</si>
  <si>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</si>
  <si>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</si>
  <si>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</si>
  <si>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</si>
  <si>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</si>
  <si>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</si>
  <si>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</si>
  <si>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</si>
  <si>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</si>
  <si>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</si>
  <si>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</si>
  <si>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</si>
  <si>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</si>
  <si>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</si>
  <si>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</si>
  <si>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</si>
  <si>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</si>
  <si>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</si>
  <si>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</si>
  <si>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</si>
  <si>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</si>
  <si>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</si>
  <si>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</si>
  <si>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</si>
  <si>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</si>
  <si>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</si>
  <si>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</si>
  <si>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</si>
  <si>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</si>
  <si>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</si>
  <si>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</si>
  <si>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</si>
  <si>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</si>
  <si>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</si>
  <si>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</si>
  <si>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</si>
  <si>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</si>
  <si>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</si>
  <si>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</si>
  <si>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</si>
  <si>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</si>
  <si>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</si>
  <si>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</si>
  <si>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</si>
  <si>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</si>
  <si>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</si>
  <si>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</si>
  <si>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</si>
  <si>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</si>
  <si>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</si>
  <si>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</si>
  <si>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</si>
  <si>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</si>
  <si>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</si>
  <si>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</si>
  <si>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</si>
  <si>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</si>
  <si>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</si>
  <si>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</si>
  <si>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</si>
  <si>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</si>
  <si>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</si>
  <si>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</si>
  <si>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</si>
  <si>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</si>
  <si>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</si>
  <si>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</si>
  <si>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</si>
  <si>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</si>
  <si>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</si>
  <si>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</si>
  <si>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</si>
  <si>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</si>
  <si>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</si>
  <si>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</si>
  <si>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</si>
  <si>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</si>
  <si>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</si>
  <si>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</si>
  <si>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</si>
  <si>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</si>
  <si>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</si>
  <si>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</si>
  <si>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</si>
  <si>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</si>
  <si>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</si>
  <si>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</si>
  <si>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</si>
  <si>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</si>
  <si>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</si>
  <si>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</si>
  <si>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</si>
  <si>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</si>
  <si>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</si>
  <si>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</si>
  <si>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</si>
  <si>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</si>
  <si>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</si>
  <si>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</si>
  <si>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</si>
  <si>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</si>
  <si>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</si>
  <si>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</si>
  <si>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</si>
  <si>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</si>
  <si>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</si>
  <si>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</si>
  <si>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</si>
  <si>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</si>
  <si>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</si>
  <si>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</si>
  <si>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</si>
  <si>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</si>
  <si>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</si>
  <si>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</si>
  <si>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</si>
  <si>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</si>
  <si>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</si>
  <si>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</si>
  <si>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</si>
  <si>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</si>
  <si>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</si>
  <si>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</si>
  <si>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</si>
  <si>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</si>
  <si>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</si>
  <si>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</si>
  <si>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</si>
  <si>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</si>
  <si>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</si>
  <si>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</si>
  <si>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</si>
  <si>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</si>
  <si>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</si>
  <si>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</si>
  <si>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</si>
  <si>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</si>
  <si>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</si>
  <si>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</si>
  <si>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</si>
  <si>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</si>
  <si>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</si>
  <si>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</si>
  <si>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</si>
  <si>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</si>
  <si>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</si>
  <si>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</si>
  <si>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</si>
  <si>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</si>
  <si>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</si>
  <si>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</si>
  <si>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</si>
  <si>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</si>
  <si>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</si>
  <si>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</si>
  <si>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</si>
  <si>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</si>
  <si>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</si>
  <si>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</si>
  <si>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</si>
  <si>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</si>
  <si>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</si>
  <si>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</si>
  <si>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</si>
  <si>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</si>
  <si>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</si>
  <si>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</si>
  <si>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</si>
  <si>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</si>
  <si>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</si>
  <si>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</si>
  <si>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</si>
  <si>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</si>
  <si>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</si>
  <si>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</si>
  <si>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</si>
  <si>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</si>
  <si>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</si>
  <si>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</si>
  <si>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</si>
  <si>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</si>
  <si>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</si>
  <si>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</si>
  <si>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</si>
  <si>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</si>
  <si>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</si>
  <si>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</si>
  <si>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</si>
  <si>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</si>
  <si>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</si>
  <si>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</si>
  <si>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</si>
  <si>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</si>
  <si>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</si>
  <si>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</si>
  <si>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</si>
  <si>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</si>
  <si>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</si>
  <si>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</si>
  <si>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</si>
  <si>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</si>
  <si>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</si>
  <si>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</si>
  <si>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</si>
  <si>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</si>
  <si>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</si>
  <si>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</si>
  <si>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</si>
  <si>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</si>
  <si>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</si>
  <si>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</si>
  <si>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</si>
  <si>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</si>
  <si>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</si>
  <si>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</si>
  <si>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</si>
  <si>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</si>
  <si>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</si>
  <si>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</si>
  <si>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</si>
  <si>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</si>
  <si>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</si>
  <si>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</si>
  <si>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</si>
  <si>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</si>
  <si>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</si>
  <si>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</si>
  <si>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</si>
  <si>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</si>
  <si>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</si>
  <si>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</si>
  <si>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</si>
  <si>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</si>
  <si>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</si>
  <si>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</si>
  <si>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</si>
  <si>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</si>
  <si>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</si>
  <si>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</si>
  <si>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</si>
  <si>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</si>
  <si>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</si>
  <si>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</si>
  <si>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</si>
  <si>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</si>
  <si>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</si>
  <si>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</si>
  <si>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</si>
  <si>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</si>
  <si>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</si>
  <si>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</si>
  <si>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</si>
  <si>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</si>
  <si>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</si>
  <si>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</si>
  <si>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</si>
  <si>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</si>
  <si>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</si>
  <si>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</si>
  <si>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</si>
  <si>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</si>
  <si>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</si>
  <si>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</si>
  <si>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</si>
  <si>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</si>
  <si>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</si>
  <si>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</si>
  <si>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</si>
  <si>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</si>
  <si>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</si>
  <si>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</si>
  <si>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</si>
  <si>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</si>
  <si>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</si>
  <si>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</si>
  <si>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</si>
  <si>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</si>
  <si>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</si>
  <si>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</si>
  <si>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</si>
  <si>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</si>
  <si>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</si>
  <si>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</si>
  <si>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</si>
  <si>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</si>
  <si>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</si>
  <si>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</si>
  <si>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</si>
  <si>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</si>
  <si>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</si>
  <si>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</si>
  <si>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</si>
  <si>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</si>
  <si>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</si>
  <si>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</si>
  <si>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</si>
  <si>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</si>
  <si>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</si>
  <si>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</si>
  <si>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</si>
  <si>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</si>
  <si>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</si>
  <si>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</si>
  <si>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</si>
  <si>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</si>
  <si>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</si>
  <si>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</si>
  <si>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</si>
  <si>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</si>
  <si>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</si>
  <si>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</si>
  <si>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</si>
  <si>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</si>
  <si>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</si>
  <si>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</si>
  <si>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</si>
  <si>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</si>
  <si>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</si>
  <si>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</si>
  <si>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</si>
  <si>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</si>
  <si>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</si>
  <si>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</si>
  <si>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</si>
  <si>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</si>
  <si>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</si>
  <si>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</si>
  <si>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</si>
  <si>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</si>
  <si>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</si>
  <si>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</si>
  <si>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</si>
  <si>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</si>
  <si>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</si>
  <si>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</si>
  <si>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</si>
  <si>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</si>
  <si>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</si>
  <si>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</si>
  <si>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</si>
  <si>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</si>
  <si>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</si>
  <si>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</si>
  <si>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</si>
  <si>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</si>
  <si>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</si>
  <si>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</si>
  <si>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</si>
  <si>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</si>
  <si>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</si>
  <si>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</si>
  <si>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</si>
  <si>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</si>
  <si>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</si>
  <si>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</si>
  <si>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</si>
  <si>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</si>
  <si>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</si>
  <si>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</si>
  <si>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</si>
  <si>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</si>
  <si>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</si>
  <si>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</si>
  <si>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</si>
  <si>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</si>
  <si>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</si>
  <si>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</si>
  <si>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</si>
  <si>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</si>
  <si>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</si>
  <si>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</si>
  <si>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</si>
  <si>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</si>
  <si>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</si>
  <si>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</si>
  <si>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</si>
  <si>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</si>
  <si>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</si>
  <si>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</si>
  <si>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</si>
  <si>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</si>
  <si>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</si>
  <si>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</si>
  <si>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</si>
  <si>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</si>
  <si>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</si>
  <si>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</si>
  <si>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</si>
  <si>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</si>
  <si>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</si>
  <si>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</si>
  <si>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</si>
  <si>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</si>
  <si>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</si>
  <si>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</si>
  <si>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</si>
  <si>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</si>
  <si>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</si>
  <si>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</si>
  <si>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</si>
  <si>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</si>
  <si>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</si>
  <si>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</si>
  <si>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</si>
  <si>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</si>
  <si>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</si>
  <si>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</si>
  <si>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</si>
  <si>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</si>
  <si>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</si>
  <si>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</si>
  <si>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</si>
  <si>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</si>
  <si>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</si>
  <si>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</si>
  <si>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</si>
  <si>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</si>
  <si>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</si>
  <si>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</si>
  <si>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</si>
  <si>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</si>
  <si>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</si>
  <si>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</si>
  <si>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</si>
  <si>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</si>
  <si>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</si>
  <si>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</si>
  <si>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</si>
  <si>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</si>
  <si>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</si>
  <si>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</si>
  <si>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</si>
  <si>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</si>
  <si>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</si>
  <si>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</si>
  <si>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</si>
  <si>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</si>
  <si>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</si>
  <si>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</si>
  <si>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</si>
  <si>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</si>
  <si>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</si>
  <si>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</si>
  <si>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</si>
  <si>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</si>
  <si>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</si>
  <si>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</si>
  <si>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</si>
  <si>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</si>
  <si>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</si>
  <si>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</si>
  <si>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</si>
  <si>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</si>
  <si>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</si>
  <si>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</si>
  <si>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</si>
  <si>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</si>
  <si>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</si>
  <si>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</si>
  <si>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</si>
  <si>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</si>
  <si>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</si>
  <si>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</si>
  <si>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</si>
  <si>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</si>
  <si>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</si>
  <si>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</si>
  <si>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</si>
  <si>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</si>
  <si>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</si>
  <si>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</si>
  <si>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</si>
  <si>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</si>
  <si>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</si>
  <si>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</si>
  <si>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</si>
  <si>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</si>
  <si>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</si>
  <si>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</si>
  <si>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</si>
  <si>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</si>
  <si>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</si>
  <si>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</si>
  <si>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</si>
  <si>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</si>
  <si>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</si>
  <si>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</si>
  <si>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</si>
  <si>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</si>
  <si>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</si>
  <si>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</si>
  <si>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</si>
  <si>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</si>
  <si>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</si>
  <si>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</si>
  <si>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</si>
  <si>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</si>
  <si>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</si>
  <si>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</si>
  <si>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</si>
  <si>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</si>
  <si>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</si>
  <si>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</si>
  <si>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</si>
  <si>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</si>
  <si>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</si>
  <si>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</si>
  <si>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</si>
  <si>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</si>
  <si>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</si>
  <si>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</si>
  <si>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</si>
  <si>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</si>
  <si>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</si>
  <si>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</si>
  <si>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</si>
  <si>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</si>
  <si>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</si>
  <si>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</si>
  <si>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</si>
  <si>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</si>
  <si>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</si>
  <si>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</si>
  <si>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</si>
  <si>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</si>
  <si>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</si>
  <si>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</si>
  <si>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</si>
  <si>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</si>
  <si>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</si>
  <si>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</si>
  <si>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</si>
  <si>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</si>
  <si>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</si>
  <si>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</si>
  <si>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</si>
  <si>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</si>
  <si>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</si>
  <si>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</si>
  <si>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</si>
  <si>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</si>
  <si>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</si>
  <si>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</si>
  <si>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</si>
  <si>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</si>
  <si>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</si>
  <si>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</si>
  <si>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</si>
  <si>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</si>
  <si>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</si>
  <si>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</si>
  <si>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</si>
  <si>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</si>
  <si>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</si>
  <si>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</si>
  <si>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</si>
  <si>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</si>
  <si>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</si>
  <si>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</si>
  <si>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</si>
  <si>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</si>
  <si>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</si>
  <si>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</si>
  <si>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</si>
  <si>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</si>
  <si>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</si>
  <si>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</si>
  <si>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</si>
  <si>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</si>
  <si>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</si>
  <si>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</si>
  <si>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</si>
  <si>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</si>
  <si>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</si>
  <si>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</si>
  <si>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</si>
  <si>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</si>
  <si>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</si>
  <si>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</si>
  <si>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</si>
  <si>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</si>
  <si>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</si>
  <si>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</si>
  <si>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</si>
  <si>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</si>
  <si>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</si>
  <si>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</si>
  <si>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</si>
  <si>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</si>
  <si>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</si>
  <si>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</si>
  <si>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</si>
  <si>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</si>
  <si>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</si>
  <si>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</si>
  <si>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</si>
  <si>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</si>
  <si>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</si>
  <si>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</si>
  <si>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</si>
  <si>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</si>
  <si>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</si>
  <si>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</si>
  <si>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</si>
  <si>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</si>
  <si>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</si>
  <si>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</si>
  <si>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</si>
  <si>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</si>
  <si>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</si>
  <si>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</si>
  <si>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</si>
  <si>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</si>
  <si>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</si>
  <si>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</si>
  <si>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</si>
  <si>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</si>
  <si>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</si>
  <si>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</si>
  <si>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</si>
  <si>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</si>
  <si>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</si>
  <si>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</si>
  <si>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</si>
  <si>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</si>
  <si>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</si>
  <si>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</si>
  <si>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</si>
  <si>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</si>
  <si>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</si>
  <si>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</si>
  <si>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</si>
  <si>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</si>
  <si>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</si>
  <si>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</si>
  <si>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</si>
  <si>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</si>
  <si>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</si>
  <si>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</si>
  <si>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</si>
  <si>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</si>
  <si>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</si>
  <si>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</si>
  <si>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</si>
  <si>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</si>
  <si>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</si>
  <si>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</si>
  <si>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</si>
  <si>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</si>
  <si>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</si>
  <si>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</si>
  <si>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</si>
  <si>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</si>
  <si>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</si>
  <si>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</si>
  <si>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</si>
  <si>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</si>
  <si>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</si>
  <si>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</si>
  <si>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</si>
  <si>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</si>
  <si>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</si>
  <si>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</si>
  <si>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</si>
  <si>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</si>
  <si>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</si>
  <si>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</si>
  <si>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</si>
  <si>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</si>
  <si>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</si>
  <si>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</si>
  <si>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</si>
  <si>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</si>
  <si>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</si>
  <si>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</si>
  <si>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</si>
  <si>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</si>
  <si>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</si>
  <si>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</si>
  <si>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</si>
  <si>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</si>
  <si>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</si>
  <si>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</si>
  <si>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</si>
  <si>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</si>
  <si>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</si>
  <si>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</si>
  <si>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</si>
  <si>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</si>
  <si>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</si>
  <si>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</si>
  <si>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</si>
  <si>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</si>
  <si>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</si>
  <si>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</si>
  <si>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</si>
  <si>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</si>
  <si>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</si>
  <si>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</si>
  <si>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</si>
  <si>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</si>
  <si>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</si>
  <si>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</si>
  <si>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</si>
  <si>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</si>
  <si>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</si>
  <si>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</si>
  <si>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</si>
  <si>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</si>
  <si>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</si>
  <si>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</si>
  <si>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</si>
  <si>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</si>
  <si>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</si>
  <si>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</si>
  <si>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</si>
  <si>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</si>
  <si>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</si>
  <si>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</si>
  <si>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</si>
  <si>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</si>
  <si>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</si>
  <si>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</si>
  <si>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</si>
  <si>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</si>
  <si>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</si>
  <si>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</si>
  <si>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</si>
  <si>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</si>
  <si>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</si>
  <si>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</si>
  <si>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</si>
  <si>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</si>
  <si>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</si>
  <si>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</si>
  <si>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</si>
  <si>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</si>
  <si>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</si>
  <si>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</si>
  <si>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</si>
  <si>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</si>
  <si>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</si>
  <si>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</si>
  <si>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</si>
  <si>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</si>
  <si>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</si>
  <si>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</si>
  <si>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</si>
  <si>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</si>
  <si>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</si>
  <si>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</si>
  <si>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</si>
  <si>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</si>
  <si>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</si>
  <si>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</si>
  <si>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</si>
  <si>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</si>
  <si>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</si>
  <si>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</si>
  <si>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</si>
  <si>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</si>
  <si>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</si>
  <si>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</si>
  <si>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</si>
  <si>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</si>
  <si>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</si>
  <si>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</si>
  <si>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</si>
  <si>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</si>
  <si>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</si>
  <si>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</si>
  <si>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</si>
  <si>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</si>
  <si>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</si>
  <si>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</si>
  <si>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</si>
  <si>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</si>
  <si>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</si>
  <si>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</si>
  <si>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</si>
  <si>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</si>
  <si>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</si>
  <si>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</si>
  <si>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</si>
  <si>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</si>
  <si>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</si>
  <si>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</si>
  <si>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</si>
  <si>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</si>
  <si>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</si>
  <si>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</si>
  <si>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</si>
  <si>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</si>
  <si>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</si>
  <si>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</si>
  <si>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</si>
  <si>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</si>
  <si>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</si>
  <si>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</si>
  <si>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</si>
  <si>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</si>
  <si>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</si>
  <si>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</si>
  <si>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</si>
  <si>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</si>
  <si>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</si>
  <si>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</si>
  <si>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</si>
  <si>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</si>
  <si>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</si>
  <si>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</si>
  <si>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</si>
  <si>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</si>
  <si>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</si>
  <si>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</si>
  <si>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</si>
  <si>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</si>
  <si>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</si>
  <si>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</si>
  <si>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</si>
  <si>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</si>
  <si>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</si>
  <si>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</si>
  <si>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</si>
  <si>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</si>
  <si>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</si>
  <si>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</si>
  <si>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</si>
  <si>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</si>
  <si>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</si>
  <si>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</si>
  <si>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</si>
  <si>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</si>
  <si>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</si>
  <si>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</si>
  <si>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</si>
  <si>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</si>
  <si>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</si>
  <si>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</si>
  <si>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</si>
  <si>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</si>
  <si>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</si>
  <si>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</si>
  <si>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</si>
  <si>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</si>
  <si>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</si>
  <si>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</si>
  <si>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</si>
  <si>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</si>
  <si>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</si>
  <si>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</si>
  <si>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</si>
  <si>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</si>
  <si>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</si>
  <si>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</si>
  <si>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</si>
  <si>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</si>
  <si>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</si>
  <si>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</si>
  <si>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</si>
  <si>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</si>
  <si>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</si>
  <si>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</si>
  <si>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</si>
  <si>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</si>
  <si>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</si>
  <si>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</si>
  <si>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</si>
  <si>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</si>
  <si>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</si>
  <si>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</si>
  <si>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</si>
  <si>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</si>
  <si>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</si>
  <si>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</si>
  <si>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</si>
  <si>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</si>
  <si>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</si>
  <si>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</si>
  <si>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</si>
  <si>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</si>
  <si>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</si>
  <si>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</si>
  <si>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</si>
  <si>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</si>
  <si>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</si>
  <si>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</si>
  <si>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</si>
  <si>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</si>
  <si>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</si>
  <si>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</si>
  <si>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</si>
  <si>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</si>
  <si>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</si>
  <si>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</si>
  <si>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</si>
  <si>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</si>
  <si>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</si>
  <si>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</si>
  <si>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</si>
  <si>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</si>
  <si>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</si>
  <si>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</si>
  <si>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</si>
  <si>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</si>
  <si>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</si>
  <si>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</si>
  <si>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</si>
  <si>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</si>
  <si>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</si>
  <si>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</si>
  <si>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</si>
  <si>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</si>
  <si>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</si>
  <si>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</si>
  <si>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</si>
  <si>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</si>
  <si>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</si>
  <si>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</si>
  <si>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</si>
  <si>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</si>
  <si>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</si>
  <si>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</si>
  <si>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</si>
  <si>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</si>
  <si>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</si>
  <si>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</si>
  <si>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</si>
  <si>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</si>
  <si>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</si>
  <si>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</si>
  <si>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</si>
  <si>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</si>
  <si>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</si>
  <si>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</si>
  <si>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</si>
  <si>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</si>
  <si>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</si>
  <si>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</si>
  <si>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</si>
  <si>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</si>
  <si>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</si>
  <si>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</si>
  <si>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</si>
  <si>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</si>
  <si>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</si>
  <si>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</si>
  <si>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</si>
  <si>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</si>
  <si>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</si>
  <si>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</si>
  <si>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</si>
  <si>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</si>
  <si>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</si>
  <si>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</si>
  <si>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</si>
  <si>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</si>
  <si>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</si>
  <si>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</si>
  <si>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</si>
  <si>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</si>
  <si>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</si>
  <si>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</si>
  <si>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</si>
  <si>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</si>
  <si>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</si>
  <si>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</si>
  <si>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</si>
  <si>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</si>
  <si>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</si>
  <si>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</si>
  <si>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</si>
  <si>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</si>
  <si>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</si>
  <si>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</si>
  <si>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</si>
  <si>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</si>
  <si>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</si>
  <si>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</si>
  <si>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</si>
  <si>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</si>
  <si>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</si>
  <si>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</si>
  <si>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</si>
  <si>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</si>
  <si>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</si>
  <si>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</si>
  <si>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</si>
  <si>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</si>
  <si>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</si>
  <si>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</si>
  <si>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</si>
  <si>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</si>
  <si>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</si>
  <si>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</si>
  <si>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</si>
  <si>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</si>
  <si>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</si>
  <si>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</si>
  <si>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</si>
  <si>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</si>
  <si>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</si>
  <si>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</si>
  <si>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</si>
  <si>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</si>
  <si>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</si>
  <si>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</si>
  <si>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</si>
  <si>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</si>
  <si>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</si>
  <si>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</si>
  <si>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</si>
  <si>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</si>
  <si>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</si>
  <si>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</si>
  <si>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</si>
  <si>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</si>
  <si>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</si>
  <si>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</si>
  <si>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</si>
  <si>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</si>
  <si>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</si>
  <si>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</si>
  <si>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</si>
  <si>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</si>
  <si>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</si>
  <si>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</si>
  <si>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</si>
  <si>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</si>
  <si>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</si>
  <si>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</si>
  <si>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</si>
  <si>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</si>
  <si>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</si>
  <si>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</si>
  <si>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</si>
  <si>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</si>
  <si>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</si>
  <si>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</si>
  <si>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</si>
  <si>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</si>
  <si>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</si>
  <si>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</si>
  <si>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</si>
  <si>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</si>
  <si>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</si>
  <si>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</si>
  <si>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</si>
  <si>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</si>
  <si>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</si>
  <si>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</si>
  <si>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</si>
  <si>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</si>
  <si>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</si>
  <si>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</si>
  <si>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</si>
  <si>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</si>
  <si>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</si>
  <si>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</si>
  <si>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</si>
  <si>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</si>
  <si>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</si>
  <si>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</si>
  <si>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</si>
  <si>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</si>
  <si>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</si>
  <si>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</si>
  <si>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</si>
  <si>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</si>
  <si>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</si>
  <si>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</si>
  <si>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</si>
  <si>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</si>
  <si>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</si>
  <si>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</si>
  <si>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</si>
  <si>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</si>
  <si>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</si>
  <si>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</si>
  <si>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</si>
  <si>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</si>
  <si>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</si>
  <si>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</si>
  <si>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</si>
  <si>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</si>
  <si>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</si>
  <si>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</si>
  <si>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</si>
  <si>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</si>
  <si>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</si>
  <si>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</si>
  <si>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</si>
  <si>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</si>
  <si>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</si>
  <si>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</si>
  <si>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</si>
  <si>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</si>
  <si>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</si>
  <si>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</si>
  <si>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</si>
  <si>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</si>
  <si>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</si>
  <si>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</si>
  <si>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</si>
  <si>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</si>
  <si>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</si>
  <si>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</si>
  <si>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</si>
  <si>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</si>
  <si>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</si>
  <si>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</si>
  <si>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</si>
  <si>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</si>
  <si>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</si>
  <si>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</si>
  <si>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</si>
  <si>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</si>
  <si>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</si>
  <si>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</si>
  <si>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</si>
  <si>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</si>
  <si>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</si>
  <si>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</si>
  <si>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</si>
  <si>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</si>
  <si>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</si>
  <si>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</si>
  <si>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</si>
  <si>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</si>
  <si>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</si>
  <si>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</si>
  <si>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</si>
  <si>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</si>
  <si>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</si>
  <si>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</si>
  <si>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</si>
  <si>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</si>
  <si>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</si>
  <si>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</si>
  <si>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</si>
  <si>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</si>
  <si>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</si>
  <si>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</si>
  <si>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</si>
  <si>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</si>
  <si>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</si>
  <si>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</si>
  <si>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</si>
  <si>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</si>
  <si>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</si>
  <si>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</si>
  <si>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</si>
  <si>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</si>
  <si>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</si>
  <si>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</si>
  <si>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</si>
  <si>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</si>
  <si>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</si>
  <si>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</si>
  <si>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</si>
  <si>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</si>
  <si>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</si>
  <si>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</si>
  <si>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</si>
  <si>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</si>
  <si>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</si>
  <si>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</si>
  <si>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</si>
  <si>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</si>
  <si>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</si>
  <si>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</si>
  <si>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</si>
  <si>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</si>
  <si>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</si>
  <si>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</si>
  <si>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</si>
  <si>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</si>
  <si>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</si>
  <si>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</si>
  <si>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</si>
  <si>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</si>
  <si>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</si>
  <si>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</si>
  <si>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</si>
  <si>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</si>
  <si>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</si>
  <si>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</si>
  <si>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</si>
  <si>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</si>
  <si>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</si>
  <si>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</si>
  <si>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</si>
  <si>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</si>
  <si>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</si>
  <si>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</si>
  <si>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</si>
  <si>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</si>
  <si>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</si>
  <si>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</si>
  <si>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</si>
  <si>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</si>
  <si>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</si>
  <si>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</si>
  <si>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</si>
  <si>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</si>
  <si>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</si>
  <si>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</si>
  <si>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</si>
  <si>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</si>
  <si>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</si>
  <si>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</si>
  <si>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</si>
  <si>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</si>
  <si>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</si>
  <si>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</si>
  <si>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</si>
  <si>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</si>
  <si>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</si>
  <si>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</si>
  <si>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</si>
  <si>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</si>
  <si>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</si>
  <si>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</si>
  <si>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</si>
  <si>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</si>
  <si>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</si>
  <si>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</si>
  <si>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</si>
  <si>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</si>
  <si>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</si>
  <si>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</si>
  <si>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</si>
  <si>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</si>
  <si>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</si>
  <si>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</si>
  <si>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</si>
  <si>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</si>
  <si>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</si>
  <si>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</si>
  <si>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</si>
  <si>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</si>
  <si>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</si>
  <si>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</si>
  <si>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</si>
  <si>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</si>
  <si>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</si>
  <si>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</si>
  <si>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</si>
  <si>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</si>
  <si>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</si>
  <si>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</si>
  <si>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</si>
  <si>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</si>
  <si>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</si>
  <si>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</si>
  <si>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</si>
  <si>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</si>
  <si>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</si>
  <si>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</si>
  <si>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</si>
  <si>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</si>
  <si>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</si>
  <si>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</si>
  <si>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</si>
  <si>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</si>
  <si>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</si>
  <si>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</si>
  <si>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</si>
  <si>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</si>
  <si>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</si>
  <si>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</si>
  <si>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</si>
  <si>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</si>
  <si>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</si>
  <si>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</si>
  <si>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</si>
  <si>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</si>
  <si>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</si>
  <si>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</si>
  <si>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</si>
  <si>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</si>
  <si>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</si>
  <si>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</si>
  <si>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</si>
  <si>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</si>
  <si>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</si>
  <si>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</si>
  <si>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</si>
  <si>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</si>
  <si>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</si>
  <si>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</si>
  <si>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</si>
  <si>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</si>
  <si>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</si>
  <si>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</si>
  <si>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</si>
  <si>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</si>
  <si>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</si>
  <si>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</si>
  <si>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</si>
  <si>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</si>
  <si>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</si>
  <si>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</si>
  <si>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</si>
  <si>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</si>
  <si>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</si>
  <si>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</si>
  <si>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</si>
  <si>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</si>
  <si>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</si>
  <si>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</si>
  <si>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</si>
  <si>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</si>
  <si>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</si>
  <si>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</si>
  <si>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</si>
  <si>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</si>
  <si>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</si>
  <si>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</si>
  <si>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</si>
  <si>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</si>
  <si>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</si>
  <si>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</si>
  <si>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</si>
  <si>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</si>
  <si>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</si>
  <si>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</si>
  <si>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</si>
  <si>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</si>
  <si>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</si>
  <si>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</si>
  <si>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</si>
  <si>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</si>
  <si>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</si>
  <si>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</si>
  <si>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</si>
  <si>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</si>
  <si>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</si>
  <si>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</si>
  <si>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</si>
  <si>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</si>
  <si>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</si>
  <si>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</si>
  <si>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</si>
  <si>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</si>
  <si>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</si>
  <si>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</si>
  <si>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</si>
  <si>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</si>
  <si>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</si>
  <si>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</si>
  <si>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</si>
  <si>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</si>
  <si>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</si>
  <si>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</si>
  <si>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</si>
  <si>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</si>
  <si>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</si>
  <si>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</si>
  <si>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</si>
  <si>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</si>
  <si>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</si>
  <si>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</si>
  <si>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</si>
  <si>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</si>
  <si>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</si>
  <si>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</si>
  <si>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</si>
  <si>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</si>
  <si>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</si>
  <si>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</si>
  <si>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</si>
  <si>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</si>
  <si>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</si>
  <si>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</si>
  <si>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</si>
  <si>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</si>
  <si>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</si>
  <si>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</si>
  <si>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</si>
  <si>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</si>
  <si>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</si>
  <si>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</si>
  <si>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</si>
  <si>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</si>
  <si>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</si>
  <si>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</si>
  <si>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</si>
  <si>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</si>
  <si>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</si>
  <si>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</si>
  <si>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</si>
  <si>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</si>
  <si>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</si>
  <si>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</si>
  <si>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</si>
  <si>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</si>
  <si>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</si>
  <si>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</si>
  <si>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</si>
  <si>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</si>
  <si>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</si>
  <si>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</si>
  <si>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</si>
  <si>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</si>
  <si>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</si>
  <si>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</si>
  <si>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</si>
  <si>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</si>
  <si>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</si>
  <si>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</si>
  <si>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</si>
  <si>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</si>
  <si>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</si>
  <si>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</si>
  <si>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</si>
  <si>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</si>
  <si>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</si>
  <si>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</si>
  <si>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</si>
  <si>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</si>
  <si>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</si>
  <si>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</si>
  <si>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</si>
  <si>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</si>
  <si>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</si>
  <si>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</si>
  <si>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</si>
  <si>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</si>
  <si>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</si>
  <si>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</si>
  <si>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</si>
  <si>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</si>
  <si>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</si>
  <si>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</si>
  <si>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</si>
  <si>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</si>
  <si>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</si>
  <si>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</si>
  <si>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</si>
  <si>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</si>
  <si>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</si>
  <si>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</si>
  <si>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</si>
  <si>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</si>
  <si>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</si>
  <si>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</si>
  <si>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</si>
  <si>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</si>
  <si>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</si>
  <si>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</si>
  <si>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</si>
  <si>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</si>
  <si>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</si>
  <si>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</si>
  <si>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</si>
  <si>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</si>
  <si>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</si>
  <si>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</si>
  <si>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</si>
  <si>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</si>
  <si>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</si>
  <si>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</si>
  <si>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</si>
  <si>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</si>
  <si>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</si>
  <si>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</si>
  <si>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</si>
  <si>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</si>
  <si>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</si>
  <si>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</si>
  <si>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</si>
  <si>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</si>
  <si>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</si>
  <si>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</si>
  <si>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</si>
  <si>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</si>
  <si>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</si>
  <si>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</si>
  <si>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</si>
  <si>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</si>
  <si>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</si>
  <si>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</si>
  <si>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</si>
  <si>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</si>
  <si>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</si>
  <si>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</si>
  <si>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</si>
  <si>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</si>
  <si>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</si>
  <si>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</si>
  <si>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</si>
  <si>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</si>
  <si>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</si>
  <si>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</si>
  <si>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</si>
  <si>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</si>
  <si>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</si>
  <si>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</si>
  <si>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</si>
  <si>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</si>
  <si>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</si>
  <si>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</si>
  <si>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</si>
  <si>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</si>
  <si>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</si>
  <si>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</si>
  <si>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</si>
  <si>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</si>
  <si>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</si>
  <si>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</si>
  <si>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</si>
  <si>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</si>
  <si>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</si>
  <si>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</si>
  <si>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</si>
  <si>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</si>
  <si>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</si>
  <si>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</si>
  <si>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</si>
  <si>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</si>
  <si>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</si>
  <si>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</si>
  <si>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</si>
  <si>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</si>
  <si>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</si>
  <si>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</si>
  <si>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</si>
  <si>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</si>
  <si>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</si>
  <si>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</si>
  <si>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</si>
  <si>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</si>
  <si>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</si>
  <si>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</si>
  <si>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</si>
  <si>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</si>
  <si>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</si>
  <si>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</si>
  <si>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</si>
  <si>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</si>
  <si>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</si>
  <si>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</si>
  <si>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</si>
  <si>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</si>
  <si>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</si>
  <si>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</si>
  <si>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</si>
  <si>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</si>
  <si>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</si>
  <si>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</si>
  <si>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</si>
  <si>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</si>
  <si>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</si>
  <si>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</si>
  <si>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</si>
  <si>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</si>
  <si>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</si>
  <si>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</si>
  <si>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</si>
  <si>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</si>
  <si>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</si>
  <si>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</si>
  <si>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</si>
  <si>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</si>
  <si>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</si>
  <si>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</si>
  <si>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</si>
  <si>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</si>
  <si>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</si>
  <si>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</si>
  <si>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</si>
  <si>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</si>
  <si>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</si>
  <si>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</si>
  <si>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</si>
  <si>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</si>
  <si>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</si>
  <si>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</si>
  <si>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</si>
  <si>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</si>
  <si>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</si>
  <si>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</si>
  <si>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</si>
  <si>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</si>
  <si>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</si>
  <si>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</si>
  <si>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</si>
  <si>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</si>
  <si>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</si>
  <si>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</si>
  <si>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</si>
  <si>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</si>
  <si>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</si>
  <si>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</si>
  <si>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</si>
  <si>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</si>
  <si>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</si>
  <si>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</si>
  <si>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</si>
  <si>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</si>
  <si>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</si>
  <si>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</si>
  <si>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</si>
  <si>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</si>
  <si>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</si>
  <si>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</si>
  <si>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</si>
  <si>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</si>
  <si>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</si>
  <si>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</si>
  <si>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</si>
  <si>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</si>
  <si>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</si>
  <si>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</si>
  <si>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</si>
  <si>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</si>
  <si>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</si>
  <si>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</si>
  <si>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</si>
  <si>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</si>
  <si>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</si>
  <si>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</si>
  <si>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</si>
  <si>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</si>
  <si>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</si>
  <si>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</si>
  <si>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</si>
  <si>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</si>
  <si>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</si>
  <si>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</si>
  <si>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</si>
  <si>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</si>
  <si>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</si>
  <si>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</si>
  <si>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</si>
  <si>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</si>
  <si>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</si>
  <si>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</si>
  <si>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</si>
  <si>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</si>
  <si>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</si>
  <si>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</si>
  <si>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</si>
  <si>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</si>
  <si>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</si>
  <si>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</si>
  <si>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</si>
  <si>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</si>
  <si>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</si>
  <si>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</si>
  <si>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</si>
  <si>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</si>
  <si>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</si>
  <si>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</si>
  <si>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</si>
  <si>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</si>
  <si>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</si>
  <si>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</si>
  <si>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</si>
  <si>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</si>
  <si>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</si>
  <si>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</si>
  <si>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</si>
  <si>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</si>
  <si>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</si>
  <si>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</si>
  <si>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</si>
  <si>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</si>
  <si>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</si>
  <si>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</si>
  <si>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</si>
  <si>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</si>
  <si>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</si>
  <si>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</si>
  <si>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</si>
  <si>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</si>
  <si>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</si>
  <si>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</si>
  <si>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</si>
  <si>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</si>
  <si>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</si>
  <si>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</si>
  <si>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</si>
  <si>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</si>
  <si>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</si>
  <si>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</si>
  <si>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</si>
  <si>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</si>
  <si>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</si>
  <si>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</si>
  <si>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</si>
  <si>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</si>
  <si>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</si>
  <si>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</si>
  <si>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</si>
  <si>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</si>
  <si>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</si>
  <si>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</si>
  <si>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</si>
  <si>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</si>
  <si>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</si>
  <si>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</si>
  <si>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</si>
  <si>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</si>
  <si>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</si>
  <si>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</si>
  <si>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</si>
  <si>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</si>
  <si>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</si>
  <si>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</si>
  <si>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</si>
  <si>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</si>
  <si>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</si>
  <si>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</si>
  <si>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</si>
  <si>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</si>
  <si>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</si>
  <si>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</si>
  <si>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</si>
  <si>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</si>
  <si>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</si>
  <si>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</si>
  <si>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</si>
  <si>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</si>
  <si>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</si>
  <si>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</si>
  <si>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</si>
  <si>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</si>
  <si>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</si>
  <si>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</si>
  <si>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</si>
  <si>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</si>
  <si>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</si>
  <si>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</si>
  <si>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</si>
  <si>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</si>
  <si>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</si>
  <si>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</si>
  <si>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</si>
  <si>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</si>
  <si>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</si>
  <si>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</si>
  <si>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</si>
  <si>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</si>
  <si>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</si>
  <si>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</si>
  <si>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</si>
  <si>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</si>
  <si>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</si>
  <si>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</si>
  <si>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</si>
  <si>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</si>
  <si>
    <t>Fortaleza EC vs Operário Ferroviário / Correct Score</t>
  </si>
  <si>
    <t>Unión La Calera vs La Serena / Total 2.5</t>
  </si>
  <si>
    <t>FC Barcelona vs Rayo Vallecano / Match Odds</t>
  </si>
  <si>
    <t>Benfica vs Estoril-Praia / Match Odds</t>
  </si>
  <si>
    <t>IK Sirius vs Malmö FF / Total 2.5</t>
  </si>
  <si>
    <t>IK Sirius vs Malmö FF / Correct Score</t>
  </si>
  <si>
    <t>FK Liepaja vs Riga FC / Correct Score</t>
  </si>
  <si>
    <t>Asyut Petroleum vs National Bank / Total 0.5</t>
  </si>
  <si>
    <t>Londrina vs EC Juventude / Total 0.5</t>
  </si>
  <si>
    <t>Londrina vs EC Juventude / Correct Score</t>
  </si>
  <si>
    <t>Portsmouth vs Derby County / Total 2.5</t>
  </si>
  <si>
    <t>Birmingham City vs Southampton / Both Teams To Score</t>
  </si>
  <si>
    <t>Bradford City vs Cambridge United / Total 0.5</t>
  </si>
  <si>
    <t>Durban City FC vs Stellenbosch FC / Total 0.5</t>
  </si>
  <si>
    <t>Västerås SK FK</t>
  </si>
  <si>
    <t>Þór Akureyri</t>
  </si>
  <si>
    <t>Lay 1x0 2T</t>
  </si>
  <si>
    <t>1x0 | 0x1</t>
  </si>
  <si>
    <t>Vélez Sársfield vs Boca Juniors / Correct Score</t>
  </si>
  <si>
    <t>Flamengo vs Mirassol FC / Match Odds</t>
  </si>
  <si>
    <t>Club Olimpia vs Club Guaraní / Total 2.5</t>
  </si>
  <si>
    <t>Celtic vs Aberdeen / Match Odds</t>
  </si>
  <si>
    <t>FC Luzern vs FC Vaduz / Correct Score</t>
  </si>
  <si>
    <t>Grasshopper Club Zürich vs FC St. Gallen / Correct Score</t>
  </si>
  <si>
    <t>Millwall vs Wrexham / Total 2.5</t>
  </si>
  <si>
    <t>FC Zbrojovka Brno vs FC Hradec Králové / Total 0.5</t>
  </si>
  <si>
    <t>Vanspor FK vs Batman Petrolspor / Correct Score</t>
  </si>
  <si>
    <t>Shimizu S-Pulse vs FC Tokyo / Correct Score</t>
  </si>
  <si>
    <t>KAA Gent vs Oud-Heverlee Leuven / Correct Score</t>
  </si>
  <si>
    <t>Anderlecht vs Kortrijk / Correct Score</t>
  </si>
  <si>
    <t>Al Diriyah vs Al-Qadisiyah / Correct Score</t>
  </si>
  <si>
    <t>Hibernian vs Hearts / Both Teams To Score</t>
  </si>
  <si>
    <t>Al Ahly vs Smouha SC / Total 0.5</t>
  </si>
  <si>
    <t>CRB vs América-MG / Match Odds</t>
  </si>
  <si>
    <t>New York City FC vs Nashville Soccer Club / Correct Score</t>
  </si>
  <si>
    <t>FC Porto vs Moreirense FC / Match Odds</t>
  </si>
  <si>
    <t>Sandefjord Fotball vs Viking FK / Correct Score</t>
  </si>
  <si>
    <t>Paris Saint-Germain vs AS Monaco / Both Teams To Score</t>
  </si>
  <si>
    <t>UD Las Palmas vs Leganés / Total 0.5</t>
  </si>
  <si>
    <t>Al-Shabab Riyadh vs Al-Hilal Riyadh / Match Odds</t>
  </si>
  <si>
    <t>Al-Shabab Riyadh vs Al-Hilal Riyadh / Correct Score</t>
  </si>
  <si>
    <t>Al Ahli Jeddah vs Al-Riyadh / Match Odds</t>
  </si>
  <si>
    <t>NK Varaždin vs Istra 1961 / Correct Score</t>
  </si>
  <si>
    <t>CFR Cluj vs FC Farul Constanta / Total 0.5</t>
  </si>
  <si>
    <t>Viborg FF vs Lyngby BK / Correct Score</t>
  </si>
  <si>
    <t>Richards Bay FC vs AmaZulu / Total 0.5</t>
  </si>
  <si>
    <t>Universitario de Deportes vs Comerciantes Unidos / Total 2.5</t>
  </si>
  <si>
    <t>Fluminense FC vs Vasco da Gama / Both Teams To Score</t>
  </si>
  <si>
    <t>Sporting CP vs Nacional da Madeira / Match Odds</t>
  </si>
  <si>
    <t>St Mirren vs Celtic / Correct Score</t>
  </si>
  <si>
    <t>Swansea City vs Wrexham / Total 0.5</t>
  </si>
  <si>
    <t>Sint-Truidense VV vs RAAL La Louviere / Correct Score</t>
  </si>
  <si>
    <t>Carrarese vs Empoli / Total 0.5</t>
  </si>
  <si>
    <t>FC Schalke 04 vs FC Bayern München / Match Odds</t>
  </si>
  <si>
    <t>FC Schalke 04 vs FC Bayern München / Correct Score</t>
  </si>
  <si>
    <t>FC Utrecht vs Go Ahead Eagles / Total 2.5</t>
  </si>
  <si>
    <t>Hapoel Jerusalem vs Hapoel Ironi Kiryat Shmona / Total 2.5</t>
  </si>
  <si>
    <t>MTK Budapest vs Kisvárda / Total 2.5</t>
  </si>
  <si>
    <t>Sekhukhune United vs TS Galaxy FC / Total 0.5</t>
  </si>
  <si>
    <t>RC Lens vs FC Lorient / Correct Score</t>
  </si>
  <si>
    <t>Brentford vs Sunderland / Correct Score</t>
  </si>
  <si>
    <t>Queens Park Rangers vs Middlesbrough / Both Teams To Score</t>
  </si>
  <si>
    <t>Rangers vs Motherwell / Both Teams To Score</t>
  </si>
  <si>
    <t>West Bromwich Albion vs Watford / Correct Score</t>
  </si>
  <si>
    <t>Manchester City vs Coventry City / Match Odds</t>
  </si>
  <si>
    <t>Manchester City vs Coventry City / Correct Score</t>
  </si>
  <si>
    <t>Millwall vs Bolton Wanderers / Correct Score</t>
  </si>
  <si>
    <t>Aberdeen vs Kilmarnock / Correct Score</t>
  </si>
  <si>
    <t>SC Paderborn 07 vs SC Freiburg / Both Teams To Score</t>
  </si>
  <si>
    <t>Degerfors IF vs Halmstads BK / Correct Score</t>
  </si>
  <si>
    <t>Hansa Rostock vs SV Wehen Wiesbaden / Correct Score</t>
  </si>
  <si>
    <t>Stade Reims vs En Avant Guingamp / Correct Score</t>
  </si>
  <si>
    <t>Real Sociedad B vs CD Tenerife / Total 0.5</t>
  </si>
  <si>
    <t>Stade Reims vs En Avant Guingamp / Total 2.5</t>
  </si>
  <si>
    <t>Atlética Ponte Preta vs São Bernardo FC / Correct Score</t>
  </si>
  <si>
    <t>Gil Vicente vs Académico de Viseu / Correct Score</t>
  </si>
  <si>
    <t>Clube do Remo vs Flamengo / Correct Score</t>
  </si>
  <si>
    <t>Jagiellonia Bialystok vs Slask Wroclaw / Correct Score</t>
  </si>
  <si>
    <t>Györi ETO FC vs Kispest Honved / Correct Score</t>
  </si>
  <si>
    <t>Brøndby IF vs Randers FC / Correct Score</t>
  </si>
  <si>
    <t>Deportivo Alaves vs Osasuna / Both Teams To Score</t>
  </si>
  <si>
    <t>Arsenal vs Chelsea / Correct Score</t>
  </si>
  <si>
    <t>Lech Poznan vs Rakow Czestochowa / Correct Score</t>
  </si>
  <si>
    <t>Molde vs KFUM Oslo / Match Odds</t>
  </si>
  <si>
    <t>FK Auda vs FK Grobinas / Correct Score</t>
  </si>
  <si>
    <t>FC Basel vs FC Lugano / Correct Score</t>
  </si>
  <si>
    <t>Hearts vs Dundee / Correct Score</t>
  </si>
  <si>
    <t>Hearts vs Dundee / Total 2.5</t>
  </si>
  <si>
    <t>Stjarnan vs ÍB Vestmannaeyja / Correct Score</t>
  </si>
  <si>
    <t>Odense BK vs FC København / Both Teams To Score</t>
  </si>
  <si>
    <t>Virtus Entella vs Vicenza / Total 2.5</t>
  </si>
  <si>
    <t>Paide Linnameeskond vs Tallinna FC Levadia / Correct Score</t>
  </si>
  <si>
    <t>Blaublitz Akita vs RB Omiya Ardija / Correct Score</t>
  </si>
  <si>
    <t>Uruguai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</si>
</sst>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3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10"/>
      <color theme="1"/>
      <name val="Arial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22" fillId="0" borderId="0" applyFont="0" applyFill="0" applyBorder="0" applyAlignment="0" applyProtection="0"/>
    <xf numFmtId="0" fontId="136" fillId="0" borderId="0"/>
    <xf numFmtId="9" fontId="136" fillId="0" borderId="0" applyFont="0" applyFill="0" applyBorder="0" applyAlignment="0" applyProtection="0"/>
    <xf numFmtId="0" fontId="100" fillId="0" borderId="0"/>
    <xf numFmtId="9" fontId="100" fillId="0" borderId="0" applyFont="0" applyFill="0" applyBorder="0" applyAlignment="0" applyProtection="0"/>
  </cellStyleXfs>
  <cellXfs count="1491">
    <xf numFmtId="0" fontId="0" fillId="0" borderId="0" xfId="0"/>
    <xf numFmtId="0" fontId="219" fillId="0" borderId="0" xfId="0" applyFont="1" applyAlignment="1">
      <alignment horizontal="center" vertical="center"/>
    </xf>
    <xf numFmtId="4" fontId="219" fillId="0" borderId="0" xfId="0" applyNumberFormat="1" applyFont="1" applyAlignment="1">
      <alignment horizontal="center" vertical="center"/>
    </xf>
    <xf numFmtId="0" fontId="219" fillId="0" borderId="0" xfId="0" applyFont="1"/>
    <xf numFmtId="0" fontId="220" fillId="0" borderId="0" xfId="0" applyFont="1" applyAlignment="1">
      <alignment horizontal="center" vertical="center"/>
    </xf>
    <xf numFmtId="0" fontId="219" fillId="0" borderId="0" xfId="0" applyFont="1" applyBorder="1" applyAlignment="1">
      <alignment vertical="center"/>
    </xf>
    <xf numFmtId="0" fontId="221" fillId="2" borderId="1" xfId="0" applyFont="1" applyFill="1" applyBorder="1" applyAlignment="1">
      <alignment horizontal="left" vertical="center" wrapText="1"/>
    </xf>
    <xf numFmtId="0" fontId="221" fillId="2" borderId="1" xfId="0" applyFont="1" applyFill="1" applyBorder="1" applyAlignment="1">
      <alignment horizontal="center" vertical="center" wrapText="1"/>
    </xf>
    <xf numFmtId="0" fontId="221" fillId="2" borderId="0" xfId="0" applyFont="1" applyFill="1" applyAlignment="1">
      <alignment horizontal="right" vertical="center" wrapText="1"/>
    </xf>
    <xf numFmtId="0" fontId="219" fillId="0" borderId="0" xfId="0" applyFont="1" applyAlignment="1">
      <alignment vertical="center"/>
    </xf>
    <xf numFmtId="14" fontId="219" fillId="0" borderId="0" xfId="0" applyNumberFormat="1" applyFont="1" applyAlignment="1">
      <alignment vertical="center"/>
    </xf>
    <xf numFmtId="4" fontId="219" fillId="0" borderId="0" xfId="0" applyNumberFormat="1" applyFont="1" applyAlignment="1">
      <alignment vertical="center"/>
    </xf>
    <xf numFmtId="10" fontId="219" fillId="0" borderId="0" xfId="0" applyNumberFormat="1" applyFont="1" applyAlignment="1">
      <alignment vertical="center"/>
    </xf>
    <xf numFmtId="0" fontId="219" fillId="0" borderId="0" xfId="0" applyFont="1" applyFill="1" applyAlignment="1">
      <alignment vertical="center"/>
    </xf>
    <xf numFmtId="14" fontId="219" fillId="0" borderId="0" xfId="0" applyNumberFormat="1" applyFont="1" applyBorder="1" applyAlignment="1">
      <alignment vertical="center"/>
    </xf>
    <xf numFmtId="4" fontId="219" fillId="0" borderId="0" xfId="0" applyNumberFormat="1" applyFont="1" applyBorder="1" applyAlignment="1">
      <alignment vertical="center"/>
    </xf>
    <xf numFmtId="10" fontId="219" fillId="0" borderId="0" xfId="0" applyNumberFormat="1" applyFont="1" applyBorder="1" applyAlignment="1">
      <alignment vertical="center"/>
    </xf>
    <xf numFmtId="10" fontId="219" fillId="0" borderId="0" xfId="1" applyNumberFormat="1" applyFont="1" applyAlignment="1">
      <alignment horizontal="center" vertical="center"/>
    </xf>
    <xf numFmtId="9" fontId="219" fillId="0" borderId="0" xfId="0" applyNumberFormat="1" applyFont="1" applyAlignment="1">
      <alignment horizontal="center" vertical="center"/>
    </xf>
    <xf numFmtId="164" fontId="219" fillId="0" borderId="0" xfId="0" applyNumberFormat="1" applyFont="1" applyAlignment="1">
      <alignment horizontal="center" vertical="center"/>
    </xf>
    <xf numFmtId="3" fontId="219" fillId="0" borderId="0" xfId="0" applyNumberFormat="1" applyFont="1" applyAlignment="1">
      <alignment horizontal="center" vertical="center"/>
    </xf>
    <xf numFmtId="14" fontId="219" fillId="0" borderId="0" xfId="0" applyNumberFormat="1" applyFont="1" applyAlignment="1">
      <alignment horizontal="center" vertical="center"/>
    </xf>
    <xf numFmtId="0" fontId="220" fillId="0" borderId="0" xfId="0" applyFont="1" applyAlignment="1">
      <alignment horizontal="center" vertical="center" wrapText="1"/>
    </xf>
    <xf numFmtId="4" fontId="220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19" fillId="0" borderId="0" xfId="1" applyNumberFormat="1" applyFont="1" applyAlignment="1">
      <alignment horizontal="center" vertical="center"/>
    </xf>
    <xf numFmtId="14" fontId="223" fillId="0" borderId="0" xfId="0" applyNumberFormat="1" applyFont="1" applyAlignment="1">
      <alignment horizontal="center" vertical="center"/>
    </xf>
    <xf numFmtId="0" fontId="223" fillId="0" borderId="0" xfId="0" applyFont="1" applyAlignment="1">
      <alignment horizontal="center" vertical="center"/>
    </xf>
    <xf numFmtId="4" fontId="223" fillId="0" borderId="0" xfId="0" applyNumberFormat="1" applyFont="1" applyAlignment="1">
      <alignment horizontal="center" vertical="center"/>
    </xf>
    <xf numFmtId="164" fontId="223" fillId="0" borderId="0" xfId="0" applyNumberFormat="1" applyFont="1" applyAlignment="1">
      <alignment horizontal="center" vertical="center"/>
    </xf>
    <xf numFmtId="10" fontId="223" fillId="0" borderId="0" xfId="1" applyNumberFormat="1" applyFont="1" applyAlignment="1">
      <alignment horizontal="center" vertical="center"/>
    </xf>
    <xf numFmtId="3" fontId="223" fillId="0" borderId="0" xfId="0" applyNumberFormat="1" applyFont="1" applyAlignment="1">
      <alignment horizontal="center" vertical="center"/>
    </xf>
    <xf numFmtId="0" fontId="223" fillId="0" borderId="0" xfId="0" applyFont="1" applyAlignment="1">
      <alignment horizontal="center" vertical="center" wrapText="1"/>
    </xf>
    <xf numFmtId="16" fontId="220" fillId="0" borderId="0" xfId="0" applyNumberFormat="1" applyFont="1" applyAlignment="1">
      <alignment horizontal="center" vertical="center"/>
    </xf>
    <xf numFmtId="4" fontId="219" fillId="0" borderId="2" xfId="0" applyNumberFormat="1" applyFont="1" applyBorder="1" applyAlignment="1">
      <alignment horizontal="center" vertical="center"/>
    </xf>
    <xf numFmtId="165" fontId="219" fillId="0" borderId="0" xfId="1" applyNumberFormat="1" applyFont="1" applyBorder="1" applyAlignment="1">
      <alignment horizontal="center" vertical="center"/>
    </xf>
    <xf numFmtId="4" fontId="219" fillId="0" borderId="3" xfId="1" applyNumberFormat="1" applyFont="1" applyBorder="1" applyAlignment="1">
      <alignment horizontal="center" vertical="center"/>
    </xf>
    <xf numFmtId="4" fontId="219" fillId="0" borderId="0" xfId="1" applyNumberFormat="1" applyFont="1" applyBorder="1" applyAlignment="1">
      <alignment horizontal="center" vertical="center"/>
    </xf>
    <xf numFmtId="17" fontId="220" fillId="0" borderId="0" xfId="0" applyNumberFormat="1" applyFont="1" applyAlignment="1">
      <alignment horizontal="center" vertical="center"/>
    </xf>
    <xf numFmtId="0" fontId="220" fillId="0" borderId="2" xfId="0" applyFont="1" applyBorder="1" applyAlignment="1">
      <alignment horizontal="center" vertical="center"/>
    </xf>
    <xf numFmtId="0" fontId="220" fillId="0" borderId="0" xfId="0" applyFont="1" applyBorder="1" applyAlignment="1">
      <alignment horizontal="center" vertical="center"/>
    </xf>
    <xf numFmtId="0" fontId="220" fillId="0" borderId="3" xfId="0" applyFont="1" applyBorder="1" applyAlignment="1">
      <alignment horizontal="center" vertical="center"/>
    </xf>
    <xf numFmtId="0" fontId="218" fillId="0" borderId="0" xfId="0" applyFont="1"/>
    <xf numFmtId="4" fontId="218" fillId="0" borderId="0" xfId="0" applyNumberFormat="1" applyFont="1" applyAlignment="1">
      <alignment vertical="center"/>
    </xf>
    <xf numFmtId="10" fontId="218" fillId="0" borderId="0" xfId="0" applyNumberFormat="1" applyFont="1" applyAlignment="1">
      <alignment vertical="center"/>
    </xf>
    <xf numFmtId="9" fontId="220" fillId="3" borderId="0" xfId="0" applyNumberFormat="1" applyFont="1" applyFill="1" applyBorder="1" applyAlignment="1">
      <alignment horizontal="center" vertical="center"/>
    </xf>
    <xf numFmtId="4" fontId="220" fillId="3" borderId="0" xfId="0" applyNumberFormat="1" applyFont="1" applyFill="1" applyBorder="1" applyAlignment="1">
      <alignment horizontal="center" vertical="center"/>
    </xf>
    <xf numFmtId="0" fontId="218" fillId="0" borderId="0" xfId="0" applyFont="1" applyAlignment="1">
      <alignment horizontal="center" vertical="center"/>
    </xf>
    <xf numFmtId="4" fontId="218" fillId="0" borderId="0" xfId="0" applyNumberFormat="1" applyFont="1" applyAlignment="1">
      <alignment horizontal="center" vertical="center"/>
    </xf>
    <xf numFmtId="9" fontId="218" fillId="0" borderId="0" xfId="0" applyNumberFormat="1" applyFont="1" applyAlignment="1">
      <alignment horizontal="center" vertical="center"/>
    </xf>
    <xf numFmtId="166" fontId="218" fillId="0" borderId="0" xfId="0" applyNumberFormat="1" applyFont="1" applyAlignment="1">
      <alignment horizontal="center" vertical="center"/>
    </xf>
    <xf numFmtId="4" fontId="218" fillId="3" borderId="0" xfId="0" applyNumberFormat="1" applyFont="1" applyFill="1" applyAlignment="1">
      <alignment horizontal="center" vertical="center"/>
    </xf>
    <xf numFmtId="9" fontId="218" fillId="3" borderId="0" xfId="0" applyNumberFormat="1" applyFont="1" applyFill="1" applyAlignment="1">
      <alignment horizontal="center" vertical="center"/>
    </xf>
    <xf numFmtId="3" fontId="218" fillId="3" borderId="0" xfId="0" applyNumberFormat="1" applyFont="1" applyFill="1" applyAlignment="1">
      <alignment horizontal="center" vertical="center"/>
    </xf>
    <xf numFmtId="0" fontId="218" fillId="3" borderId="0" xfId="0" applyFont="1" applyFill="1" applyAlignment="1">
      <alignment horizontal="center" vertical="center"/>
    </xf>
    <xf numFmtId="0" fontId="218" fillId="0" borderId="4" xfId="0" applyFont="1" applyBorder="1" applyAlignment="1">
      <alignment horizontal="center" vertical="center"/>
    </xf>
    <xf numFmtId="0" fontId="218" fillId="0" borderId="5" xfId="0" applyFont="1" applyBorder="1" applyAlignment="1">
      <alignment horizontal="center" vertical="center"/>
    </xf>
    <xf numFmtId="0" fontId="218" fillId="0" borderId="6" xfId="0" applyFont="1" applyBorder="1" applyAlignment="1">
      <alignment horizontal="center" vertical="center"/>
    </xf>
    <xf numFmtId="0" fontId="218" fillId="0" borderId="0" xfId="0" applyFont="1" applyAlignment="1">
      <alignment horizontal="center" vertical="center" wrapText="1"/>
    </xf>
    <xf numFmtId="0" fontId="223" fillId="0" borderId="0" xfId="0" applyFont="1" applyAlignment="1">
      <alignment vertical="center"/>
    </xf>
    <xf numFmtId="14" fontId="223" fillId="0" borderId="0" xfId="0" applyNumberFormat="1" applyFont="1" applyAlignment="1">
      <alignment vertical="center"/>
    </xf>
    <xf numFmtId="4" fontId="223" fillId="0" borderId="0" xfId="0" applyNumberFormat="1" applyFont="1" applyAlignment="1">
      <alignment vertical="center"/>
    </xf>
    <xf numFmtId="14" fontId="218" fillId="0" borderId="0" xfId="0" applyNumberFormat="1" applyFont="1" applyAlignment="1">
      <alignment vertical="center"/>
    </xf>
    <xf numFmtId="0" fontId="217" fillId="0" borderId="0" xfId="0" applyFont="1" applyAlignment="1">
      <alignment vertical="center"/>
    </xf>
    <xf numFmtId="14" fontId="217" fillId="0" borderId="0" xfId="0" applyNumberFormat="1" applyFont="1" applyAlignment="1">
      <alignment vertical="center"/>
    </xf>
    <xf numFmtId="4" fontId="217" fillId="0" borderId="0" xfId="0" applyNumberFormat="1" applyFont="1" applyAlignment="1">
      <alignment vertical="center"/>
    </xf>
    <xf numFmtId="10" fontId="217" fillId="0" borderId="0" xfId="0" applyNumberFormat="1" applyFont="1" applyAlignment="1">
      <alignment vertical="center"/>
    </xf>
    <xf numFmtId="0" fontId="216" fillId="0" borderId="0" xfId="0" applyFont="1" applyAlignment="1">
      <alignment vertical="center"/>
    </xf>
    <xf numFmtId="0" fontId="216" fillId="0" borderId="0" xfId="0" applyFont="1" applyAlignment="1">
      <alignment horizontal="center" vertical="center"/>
    </xf>
    <xf numFmtId="16" fontId="216" fillId="0" borderId="0" xfId="0" applyNumberFormat="1" applyFont="1" applyAlignment="1">
      <alignment horizontal="center" vertical="center"/>
    </xf>
    <xf numFmtId="4" fontId="216" fillId="0" borderId="0" xfId="0" applyNumberFormat="1" applyFont="1" applyAlignment="1">
      <alignment horizontal="center" vertical="center"/>
    </xf>
    <xf numFmtId="4" fontId="216" fillId="0" borderId="0" xfId="0" applyNumberFormat="1" applyFont="1" applyAlignment="1">
      <alignment vertical="center"/>
    </xf>
    <xf numFmtId="10" fontId="216" fillId="0" borderId="0" xfId="1" applyNumberFormat="1" applyFont="1" applyAlignment="1">
      <alignment vertical="center"/>
    </xf>
    <xf numFmtId="0" fontId="216" fillId="0" borderId="0" xfId="0" applyFont="1"/>
    <xf numFmtId="16" fontId="216" fillId="0" borderId="0" xfId="0" applyNumberFormat="1" applyFont="1" applyAlignment="1">
      <alignment vertical="center"/>
    </xf>
    <xf numFmtId="10" fontId="216" fillId="0" borderId="0" xfId="1" applyNumberFormat="1" applyFont="1" applyAlignment="1">
      <alignment horizontal="center" vertical="center"/>
    </xf>
    <xf numFmtId="165" fontId="216" fillId="0" borderId="0" xfId="1" applyNumberFormat="1" applyFont="1" applyAlignment="1">
      <alignment vertical="center"/>
    </xf>
    <xf numFmtId="14" fontId="215" fillId="0" borderId="0" xfId="0" applyNumberFormat="1" applyFont="1" applyAlignment="1">
      <alignment vertical="center"/>
    </xf>
    <xf numFmtId="4" fontId="215" fillId="0" borderId="0" xfId="0" applyNumberFormat="1" applyFont="1" applyAlignment="1">
      <alignment vertical="center"/>
    </xf>
    <xf numFmtId="10" fontId="215" fillId="0" borderId="0" xfId="0" applyNumberFormat="1" applyFont="1" applyAlignment="1">
      <alignment vertical="center"/>
    </xf>
    <xf numFmtId="4" fontId="215" fillId="0" borderId="0" xfId="0" applyNumberFormat="1" applyFont="1" applyAlignment="1">
      <alignment horizontal="center" vertical="center"/>
    </xf>
    <xf numFmtId="0" fontId="215" fillId="0" borderId="0" xfId="0" applyFont="1" applyAlignment="1">
      <alignment horizontal="center" vertical="center"/>
    </xf>
    <xf numFmtId="14" fontId="216" fillId="0" borderId="0" xfId="0" applyNumberFormat="1" applyFont="1" applyAlignment="1">
      <alignment vertical="center"/>
    </xf>
    <xf numFmtId="0" fontId="220" fillId="0" borderId="2" xfId="0" applyFont="1" applyBorder="1" applyAlignment="1">
      <alignment horizontal="center" vertical="center"/>
    </xf>
    <xf numFmtId="0" fontId="220" fillId="0" borderId="0" xfId="0" applyFont="1" applyBorder="1" applyAlignment="1">
      <alignment horizontal="center" vertical="center"/>
    </xf>
    <xf numFmtId="0" fontId="220" fillId="0" borderId="3" xfId="0" applyFont="1" applyBorder="1" applyAlignment="1">
      <alignment horizontal="center" vertical="center"/>
    </xf>
    <xf numFmtId="3" fontId="223" fillId="0" borderId="0" xfId="0" applyNumberFormat="1" applyFont="1" applyAlignment="1">
      <alignment vertical="center"/>
    </xf>
    <xf numFmtId="3" fontId="223" fillId="0" borderId="0" xfId="0" applyNumberFormat="1" applyFont="1" applyBorder="1" applyAlignment="1">
      <alignment vertical="center"/>
    </xf>
    <xf numFmtId="0" fontId="214" fillId="0" borderId="0" xfId="0" applyFont="1" applyAlignment="1">
      <alignment horizontal="center" vertical="center"/>
    </xf>
    <xf numFmtId="14" fontId="214" fillId="0" borderId="0" xfId="0" applyNumberFormat="1" applyFont="1" applyAlignment="1">
      <alignment vertical="center"/>
    </xf>
    <xf numFmtId="4" fontId="214" fillId="0" borderId="0" xfId="0" applyNumberFormat="1" applyFont="1" applyAlignment="1">
      <alignment vertical="center"/>
    </xf>
    <xf numFmtId="3" fontId="214" fillId="0" borderId="0" xfId="0" applyNumberFormat="1" applyFont="1" applyAlignment="1">
      <alignment vertical="center"/>
    </xf>
    <xf numFmtId="14" fontId="214" fillId="0" borderId="0" xfId="0" applyNumberFormat="1" applyFont="1" applyAlignment="1">
      <alignment horizontal="center" vertical="center"/>
    </xf>
    <xf numFmtId="4" fontId="214" fillId="0" borderId="0" xfId="0" applyNumberFormat="1" applyFont="1" applyAlignment="1">
      <alignment horizontal="center" vertical="center"/>
    </xf>
    <xf numFmtId="164" fontId="214" fillId="0" borderId="0" xfId="0" applyNumberFormat="1" applyFont="1" applyAlignment="1">
      <alignment horizontal="center" vertical="center"/>
    </xf>
    <xf numFmtId="10" fontId="214" fillId="0" borderId="0" xfId="1" applyNumberFormat="1" applyFont="1" applyAlignment="1">
      <alignment horizontal="center" vertical="center"/>
    </xf>
    <xf numFmtId="3" fontId="214" fillId="0" borderId="0" xfId="0" applyNumberFormat="1" applyFont="1" applyAlignment="1">
      <alignment horizontal="center" vertical="center"/>
    </xf>
    <xf numFmtId="14" fontId="213" fillId="0" borderId="0" xfId="0" applyNumberFormat="1" applyFont="1" applyAlignment="1">
      <alignment vertical="center"/>
    </xf>
    <xf numFmtId="4" fontId="213" fillId="0" borderId="0" xfId="0" applyNumberFormat="1" applyFont="1" applyAlignment="1">
      <alignment vertical="center"/>
    </xf>
    <xf numFmtId="3" fontId="213" fillId="0" borderId="0" xfId="0" applyNumberFormat="1" applyFont="1" applyAlignment="1">
      <alignment vertical="center"/>
    </xf>
    <xf numFmtId="0" fontId="212" fillId="0" borderId="0" xfId="0" applyFont="1" applyAlignment="1">
      <alignment horizontal="center" vertical="center"/>
    </xf>
    <xf numFmtId="14" fontId="211" fillId="0" borderId="0" xfId="0" applyNumberFormat="1" applyFont="1" applyAlignment="1">
      <alignment vertical="center"/>
    </xf>
    <xf numFmtId="4" fontId="211" fillId="0" borderId="0" xfId="0" applyNumberFormat="1" applyFont="1" applyAlignment="1">
      <alignment vertical="center"/>
    </xf>
    <xf numFmtId="3" fontId="211" fillId="0" borderId="0" xfId="0" applyNumberFormat="1" applyFont="1" applyAlignment="1">
      <alignment vertical="center"/>
    </xf>
    <xf numFmtId="16" fontId="223" fillId="0" borderId="0" xfId="0" applyNumberFormat="1" applyFont="1" applyAlignment="1">
      <alignment horizontal="center" vertical="center"/>
    </xf>
    <xf numFmtId="14" fontId="210" fillId="0" borderId="0" xfId="0" applyNumberFormat="1" applyFont="1" applyAlignment="1">
      <alignment vertical="center"/>
    </xf>
    <xf numFmtId="4" fontId="210" fillId="0" borderId="0" xfId="0" applyNumberFormat="1" applyFont="1" applyAlignment="1">
      <alignment vertical="center"/>
    </xf>
    <xf numFmtId="3" fontId="210" fillId="0" borderId="0" xfId="0" applyNumberFormat="1" applyFont="1" applyAlignment="1">
      <alignment vertical="center"/>
    </xf>
    <xf numFmtId="0" fontId="210" fillId="0" borderId="0" xfId="0" applyFont="1" applyAlignment="1">
      <alignment horizontal="center" vertical="center"/>
    </xf>
    <xf numFmtId="0" fontId="209" fillId="0" borderId="0" xfId="0" applyFont="1" applyAlignment="1">
      <alignment horizontal="center" vertical="center"/>
    </xf>
    <xf numFmtId="4" fontId="218" fillId="0" borderId="0" xfId="0" applyNumberFormat="1" applyFont="1" applyFill="1" applyAlignment="1">
      <alignment horizontal="center" vertical="center"/>
    </xf>
    <xf numFmtId="14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vertical="center"/>
    </xf>
    <xf numFmtId="3" fontId="208" fillId="0" borderId="0" xfId="0" applyNumberFormat="1" applyFont="1" applyAlignment="1">
      <alignment vertical="center"/>
    </xf>
    <xf numFmtId="0" fontId="208" fillId="0" borderId="0" xfId="0" applyFont="1" applyAlignment="1">
      <alignment horizontal="center" vertical="center"/>
    </xf>
    <xf numFmtId="14" fontId="208" fillId="0" borderId="0" xfId="0" applyNumberFormat="1" applyFont="1" applyAlignment="1">
      <alignment horizontal="center" vertical="center"/>
    </xf>
    <xf numFmtId="4" fontId="208" fillId="0" borderId="0" xfId="0" applyNumberFormat="1" applyFont="1" applyAlignment="1">
      <alignment horizontal="center" vertical="center"/>
    </xf>
    <xf numFmtId="164" fontId="208" fillId="0" borderId="0" xfId="0" applyNumberFormat="1" applyFont="1" applyAlignment="1">
      <alignment horizontal="center" vertical="center"/>
    </xf>
    <xf numFmtId="10" fontId="208" fillId="0" borderId="0" xfId="1" applyNumberFormat="1" applyFont="1" applyAlignment="1">
      <alignment horizontal="center" vertical="center"/>
    </xf>
    <xf numFmtId="3" fontId="208" fillId="0" borderId="0" xfId="0" applyNumberFormat="1" applyFont="1" applyAlignment="1">
      <alignment horizontal="center" vertical="center"/>
    </xf>
    <xf numFmtId="0" fontId="218" fillId="4" borderId="0" xfId="0" applyFont="1" applyFill="1" applyAlignment="1">
      <alignment horizontal="center" vertical="center"/>
    </xf>
    <xf numFmtId="0" fontId="218" fillId="4" borderId="5" xfId="0" applyFont="1" applyFill="1" applyBorder="1" applyAlignment="1">
      <alignment horizontal="center" vertical="center"/>
    </xf>
    <xf numFmtId="14" fontId="207" fillId="0" borderId="0" xfId="0" applyNumberFormat="1" applyFont="1" applyAlignment="1">
      <alignment vertical="center"/>
    </xf>
    <xf numFmtId="4" fontId="207" fillId="0" borderId="0" xfId="0" applyNumberFormat="1" applyFont="1" applyAlignment="1">
      <alignment vertical="center"/>
    </xf>
    <xf numFmtId="3" fontId="207" fillId="0" borderId="0" xfId="0" applyNumberFormat="1" applyFont="1" applyAlignment="1">
      <alignment vertical="center"/>
    </xf>
    <xf numFmtId="0" fontId="206" fillId="0" borderId="0" xfId="0" applyFont="1" applyAlignment="1">
      <alignment horizontal="center" vertical="center"/>
    </xf>
    <xf numFmtId="9" fontId="218" fillId="4" borderId="0" xfId="0" applyNumberFormat="1" applyFont="1" applyFill="1" applyAlignment="1">
      <alignment horizontal="center" vertical="center"/>
    </xf>
    <xf numFmtId="0" fontId="205" fillId="0" borderId="0" xfId="0" applyFont="1" applyAlignment="1">
      <alignment horizontal="center" vertical="center"/>
    </xf>
    <xf numFmtId="14" fontId="204" fillId="0" borderId="0" xfId="0" applyNumberFormat="1" applyFont="1" applyAlignment="1">
      <alignment vertical="center"/>
    </xf>
    <xf numFmtId="4" fontId="204" fillId="0" borderId="0" xfId="0" applyNumberFormat="1" applyFont="1" applyAlignment="1">
      <alignment vertical="center"/>
    </xf>
    <xf numFmtId="3" fontId="204" fillId="0" borderId="0" xfId="0" applyNumberFormat="1" applyFont="1" applyAlignment="1">
      <alignment vertical="center"/>
    </xf>
    <xf numFmtId="16" fontId="224" fillId="0" borderId="0" xfId="0" applyNumberFormat="1" applyFont="1" applyAlignment="1">
      <alignment horizontal="center" vertical="center"/>
    </xf>
    <xf numFmtId="4" fontId="224" fillId="0" borderId="0" xfId="0" applyNumberFormat="1" applyFont="1" applyAlignment="1">
      <alignment horizontal="center" vertical="center"/>
    </xf>
    <xf numFmtId="0" fontId="224" fillId="0" borderId="0" xfId="0" applyFont="1" applyAlignment="1">
      <alignment horizontal="center" vertical="center"/>
    </xf>
    <xf numFmtId="0" fontId="203" fillId="0" borderId="0" xfId="0" applyFont="1" applyAlignment="1">
      <alignment horizontal="center" vertical="center"/>
    </xf>
    <xf numFmtId="4" fontId="218" fillId="0" borderId="11" xfId="0" applyNumberFormat="1" applyFont="1" applyBorder="1" applyAlignment="1">
      <alignment horizontal="center" vertical="center"/>
    </xf>
    <xf numFmtId="166" fontId="218" fillId="0" borderId="11" xfId="0" applyNumberFormat="1" applyFont="1" applyBorder="1" applyAlignment="1">
      <alignment horizontal="center" vertical="center"/>
    </xf>
    <xf numFmtId="0" fontId="218" fillId="0" borderId="11" xfId="0" applyFont="1" applyBorder="1" applyAlignment="1">
      <alignment horizontal="center" vertical="center"/>
    </xf>
    <xf numFmtId="165" fontId="218" fillId="0" borderId="11" xfId="1" applyNumberFormat="1" applyFont="1" applyBorder="1" applyAlignment="1">
      <alignment horizontal="center" vertical="center"/>
    </xf>
    <xf numFmtId="0" fontId="203" fillId="0" borderId="13" xfId="0" applyFont="1" applyBorder="1" applyAlignment="1">
      <alignment horizontal="center" vertical="center" wrapText="1"/>
    </xf>
    <xf numFmtId="0" fontId="218" fillId="0" borderId="0" xfId="0" applyFont="1" applyBorder="1" applyAlignment="1">
      <alignment horizontal="center" vertical="center" wrapText="1"/>
    </xf>
    <xf numFmtId="0" fontId="203" fillId="0" borderId="0" xfId="0" applyFont="1" applyBorder="1" applyAlignment="1">
      <alignment horizontal="center" vertical="center" wrapText="1"/>
    </xf>
    <xf numFmtId="0" fontId="218" fillId="0" borderId="14" xfId="0" applyFont="1" applyBorder="1" applyAlignment="1">
      <alignment horizontal="center" vertical="center" wrapText="1"/>
    </xf>
    <xf numFmtId="0" fontId="218" fillId="0" borderId="13" xfId="0" applyFont="1" applyBorder="1" applyAlignment="1">
      <alignment horizontal="center" vertical="center" wrapText="1"/>
    </xf>
    <xf numFmtId="0" fontId="203" fillId="0" borderId="14" xfId="0" applyFont="1" applyBorder="1" applyAlignment="1">
      <alignment horizontal="center" vertical="center" wrapText="1"/>
    </xf>
    <xf numFmtId="0" fontId="220" fillId="5" borderId="8" xfId="0" applyFont="1" applyFill="1" applyBorder="1" applyAlignment="1">
      <alignment horizontal="center" vertical="center" wrapText="1"/>
    </xf>
    <xf numFmtId="0" fontId="220" fillId="6" borderId="15" xfId="0" applyFont="1" applyFill="1" applyBorder="1" applyAlignment="1">
      <alignment horizontal="center" vertical="center" wrapText="1"/>
    </xf>
    <xf numFmtId="0" fontId="220" fillId="6" borderId="9" xfId="0" applyFont="1" applyFill="1" applyBorder="1" applyAlignment="1">
      <alignment horizontal="center" vertical="center" wrapText="1"/>
    </xf>
    <xf numFmtId="0" fontId="220" fillId="6" borderId="8" xfId="0" applyFont="1" applyFill="1" applyBorder="1" applyAlignment="1">
      <alignment horizontal="center" vertical="center" wrapText="1"/>
    </xf>
    <xf numFmtId="4" fontId="218" fillId="0" borderId="12" xfId="0" applyNumberFormat="1" applyFont="1" applyBorder="1" applyAlignment="1">
      <alignment horizontal="center" vertical="center"/>
    </xf>
    <xf numFmtId="0" fontId="220" fillId="0" borderId="7" xfId="0" applyFont="1" applyBorder="1" applyAlignment="1">
      <alignment horizontal="center" vertical="center" wrapText="1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3" fontId="202" fillId="0" borderId="0" xfId="0" applyNumberFormat="1" applyFont="1" applyAlignment="1">
      <alignment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3" fontId="201" fillId="0" borderId="0" xfId="0" applyNumberFormat="1" applyFont="1" applyAlignment="1">
      <alignment vertical="center"/>
    </xf>
    <xf numFmtId="16" fontId="200" fillId="0" borderId="0" xfId="0" applyNumberFormat="1" applyFont="1" applyAlignment="1">
      <alignment horizontal="center" vertical="center"/>
    </xf>
    <xf numFmtId="4" fontId="200" fillId="0" borderId="0" xfId="0" applyNumberFormat="1" applyFont="1" applyAlignment="1">
      <alignment horizontal="center"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3" fontId="199" fillId="0" borderId="0" xfId="0" applyNumberFormat="1" applyFont="1" applyAlignment="1">
      <alignment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0" fontId="195" fillId="0" borderId="0" xfId="0" applyFont="1" applyAlignment="1">
      <alignment vertical="center"/>
    </xf>
    <xf numFmtId="2" fontId="219" fillId="0" borderId="0" xfId="0" applyNumberFormat="1" applyFont="1" applyAlignment="1">
      <alignment vertical="center"/>
    </xf>
    <xf numFmtId="2" fontId="223" fillId="0" borderId="0" xfId="0" applyNumberFormat="1" applyFont="1" applyAlignment="1">
      <alignment vertical="center"/>
    </xf>
    <xf numFmtId="2" fontId="217" fillId="0" borderId="0" xfId="0" applyNumberFormat="1" applyFont="1" applyAlignment="1">
      <alignment vertical="center"/>
    </xf>
    <xf numFmtId="2" fontId="213" fillId="0" borderId="0" xfId="0" applyNumberFormat="1" applyFont="1" applyAlignment="1">
      <alignment vertical="center"/>
    </xf>
    <xf numFmtId="2" fontId="211" fillId="0" borderId="0" xfId="0" applyNumberFormat="1" applyFont="1" applyAlignment="1">
      <alignment vertical="center"/>
    </xf>
    <xf numFmtId="2" fontId="207" fillId="0" borderId="0" xfId="0" applyNumberFormat="1" applyFont="1" applyAlignment="1">
      <alignment vertical="center"/>
    </xf>
    <xf numFmtId="2" fontId="204" fillId="0" borderId="0" xfId="0" applyNumberFormat="1" applyFont="1" applyAlignment="1">
      <alignment vertical="center"/>
    </xf>
    <xf numFmtId="2" fontId="202" fillId="0" borderId="0" xfId="0" applyNumberFormat="1" applyFont="1" applyAlignment="1">
      <alignment vertical="center"/>
    </xf>
    <xf numFmtId="2" fontId="201" fillId="0" borderId="0" xfId="0" applyNumberFormat="1" applyFont="1" applyAlignment="1">
      <alignment vertical="center"/>
    </xf>
    <xf numFmtId="2" fontId="199" fillId="0" borderId="0" xfId="0" applyNumberFormat="1" applyFont="1" applyAlignment="1">
      <alignment vertical="center"/>
    </xf>
    <xf numFmtId="2" fontId="197" fillId="0" borderId="0" xfId="0" applyNumberFormat="1" applyFont="1" applyAlignment="1">
      <alignment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0" fontId="194" fillId="0" borderId="0" xfId="0" applyFont="1" applyBorder="1" applyAlignment="1">
      <alignment horizontal="center" vertical="center" wrapText="1"/>
    </xf>
    <xf numFmtId="0" fontId="194" fillId="0" borderId="14" xfId="0" applyFont="1" applyBorder="1" applyAlignment="1">
      <alignment horizontal="center" vertical="center" wrapText="1"/>
    </xf>
    <xf numFmtId="16" fontId="225" fillId="0" borderId="0" xfId="0" applyNumberFormat="1" applyFont="1" applyAlignment="1">
      <alignment horizontal="center" vertical="center"/>
    </xf>
    <xf numFmtId="4" fontId="225" fillId="0" borderId="0" xfId="0" applyNumberFormat="1" applyFont="1" applyAlignment="1">
      <alignment horizontal="center" vertical="center"/>
    </xf>
    <xf numFmtId="0" fontId="225" fillId="0" borderId="0" xfId="0" applyFont="1" applyAlignment="1">
      <alignment horizontal="center"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0" fontId="218" fillId="0" borderId="11" xfId="0" applyFont="1" applyFill="1" applyBorder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0" fontId="192" fillId="0" borderId="0" xfId="0" applyFont="1" applyAlignment="1">
      <alignment horizontal="left" vertical="center"/>
    </xf>
    <xf numFmtId="0" fontId="218" fillId="0" borderId="16" xfId="0" applyFont="1" applyBorder="1" applyAlignment="1">
      <alignment horizontal="center" vertical="center"/>
    </xf>
    <xf numFmtId="0" fontId="218" fillId="0" borderId="17" xfId="0" applyFont="1" applyBorder="1" applyAlignment="1">
      <alignment horizontal="center" vertical="center"/>
    </xf>
    <xf numFmtId="0" fontId="218" fillId="0" borderId="18" xfId="0" applyFont="1" applyBorder="1" applyAlignment="1">
      <alignment horizontal="center" vertical="center"/>
    </xf>
    <xf numFmtId="0" fontId="218" fillId="0" borderId="10" xfId="0" applyFont="1" applyBorder="1" applyAlignment="1">
      <alignment horizontal="center" vertical="center"/>
    </xf>
    <xf numFmtId="0" fontId="218" fillId="0" borderId="12" xfId="0" applyFont="1" applyBorder="1" applyAlignment="1">
      <alignment horizontal="center" vertical="center"/>
    </xf>
    <xf numFmtId="0" fontId="218" fillId="0" borderId="19" xfId="0" applyFont="1" applyBorder="1" applyAlignment="1">
      <alignment horizontal="center" vertical="center"/>
    </xf>
    <xf numFmtId="0" fontId="218" fillId="0" borderId="20" xfId="0" applyFont="1" applyBorder="1" applyAlignment="1">
      <alignment horizontal="center" vertical="center"/>
    </xf>
    <xf numFmtId="0" fontId="218" fillId="0" borderId="21" xfId="0" applyFont="1" applyBorder="1" applyAlignment="1">
      <alignment horizontal="center" vertical="center"/>
    </xf>
    <xf numFmtId="166" fontId="218" fillId="0" borderId="11" xfId="0" applyNumberFormat="1" applyFont="1" applyFill="1" applyBorder="1" applyAlignment="1">
      <alignment horizontal="center"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4" fontId="218" fillId="0" borderId="11" xfId="0" applyNumberFormat="1" applyFont="1" applyFill="1" applyBorder="1" applyAlignment="1">
      <alignment horizontal="center" vertical="center"/>
    </xf>
    <xf numFmtId="0" fontId="220" fillId="0" borderId="8" xfId="0" applyFont="1" applyBorder="1" applyAlignment="1">
      <alignment horizontal="center" vertical="center" wrapText="1"/>
    </xf>
    <xf numFmtId="0" fontId="220" fillId="0" borderId="11" xfId="0" applyFont="1" applyBorder="1" applyAlignment="1">
      <alignment horizontal="center" vertical="center"/>
    </xf>
    <xf numFmtId="16" fontId="218" fillId="0" borderId="10" xfId="0" applyNumberFormat="1" applyFont="1" applyBorder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4" fontId="189" fillId="0" borderId="11" xfId="0" applyNumberFormat="1" applyFont="1" applyBorder="1" applyAlignment="1">
      <alignment horizontal="center"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4" fontId="188" fillId="0" borderId="11" xfId="0" applyNumberFormat="1" applyFont="1" applyBorder="1" applyAlignment="1">
      <alignment horizontal="center"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10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0" fontId="184" fillId="0" borderId="0" xfId="0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0" fontId="177" fillId="0" borderId="0" xfId="0" applyFont="1" applyAlignment="1">
      <alignment vertical="center"/>
    </xf>
    <xf numFmtId="3" fontId="226" fillId="0" borderId="0" xfId="0" applyNumberFormat="1" applyFont="1" applyAlignment="1">
      <alignment vertical="center"/>
    </xf>
    <xf numFmtId="3" fontId="226" fillId="0" borderId="0" xfId="0" applyNumberFormat="1" applyFont="1" applyBorder="1" applyAlignment="1">
      <alignment vertical="center"/>
    </xf>
    <xf numFmtId="0" fontId="226" fillId="0" borderId="0" xfId="0" applyFont="1" applyAlignment="1">
      <alignment vertical="center"/>
    </xf>
    <xf numFmtId="3" fontId="177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0" fontId="172" fillId="0" borderId="0" xfId="0" applyFont="1" applyAlignment="1">
      <alignment horizontal="center" vertical="center"/>
    </xf>
    <xf numFmtId="9" fontId="172" fillId="0" borderId="0" xfId="1" applyFont="1" applyAlignment="1">
      <alignment horizontal="center" vertical="center"/>
    </xf>
    <xf numFmtId="4" fontId="172" fillId="0" borderId="0" xfId="0" applyNumberFormat="1" applyFont="1" applyAlignment="1">
      <alignment horizontal="center" vertical="center"/>
    </xf>
    <xf numFmtId="0" fontId="172" fillId="7" borderId="0" xfId="0" applyFont="1" applyFill="1" applyAlignment="1">
      <alignment horizontal="center" vertical="center"/>
    </xf>
    <xf numFmtId="0" fontId="220" fillId="0" borderId="0" xfId="0" applyFont="1" applyFill="1" applyAlignment="1">
      <alignment horizontal="center" vertical="center"/>
    </xf>
    <xf numFmtId="0" fontId="172" fillId="0" borderId="0" xfId="0" applyFont="1" applyFill="1" applyAlignment="1">
      <alignment horizontal="center" vertical="center"/>
    </xf>
    <xf numFmtId="9" fontId="172" fillId="0" borderId="0" xfId="0" applyNumberFormat="1" applyFont="1" applyAlignment="1">
      <alignment horizontal="center" vertical="center"/>
    </xf>
    <xf numFmtId="0" fontId="172" fillId="8" borderId="0" xfId="0" applyFont="1" applyFill="1" applyAlignment="1">
      <alignment horizontal="center"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0" fontId="177" fillId="0" borderId="0" xfId="0" applyFont="1" applyFill="1" applyAlignment="1">
      <alignment vertical="center"/>
    </xf>
    <xf numFmtId="0" fontId="0" fillId="0" borderId="0" xfId="0" applyFill="1"/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1" fillId="0" borderId="0" xfId="0" applyNumberFormat="1" applyFont="1" applyBorder="1" applyAlignment="1">
      <alignment vertical="center"/>
    </xf>
    <xf numFmtId="4" fontId="141" fillId="0" borderId="0" xfId="0" applyNumberFormat="1" applyFont="1" applyBorder="1" applyAlignment="1">
      <alignment vertical="center"/>
    </xf>
    <xf numFmtId="10" fontId="187" fillId="0" borderId="0" xfId="0" applyNumberFormat="1" applyFont="1" applyBorder="1" applyAlignment="1">
      <alignment vertical="center"/>
    </xf>
    <xf numFmtId="3" fontId="141" fillId="0" borderId="0" xfId="0" applyNumberFormat="1" applyFont="1" applyBorder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4" fontId="139" fillId="0" borderId="0" xfId="0" applyNumberFormat="1" applyFont="1" applyBorder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2" applyFont="1" applyAlignment="1">
      <alignment vertical="center"/>
    </xf>
    <xf numFmtId="0" fontId="220" fillId="0" borderId="0" xfId="2" applyFont="1" applyAlignment="1">
      <alignment horizontal="center" vertical="center"/>
    </xf>
    <xf numFmtId="0" fontId="136" fillId="0" borderId="0" xfId="2" applyFont="1" applyAlignment="1">
      <alignment horizontal="center" vertical="center"/>
    </xf>
    <xf numFmtId="4" fontId="136" fillId="0" borderId="0" xfId="2" applyNumberFormat="1" applyFont="1" applyAlignment="1">
      <alignment horizontal="center" vertical="center"/>
    </xf>
    <xf numFmtId="165" fontId="136" fillId="0" borderId="0" xfId="2" applyNumberFormat="1" applyFont="1" applyAlignment="1">
      <alignment horizontal="center" vertical="center"/>
    </xf>
    <xf numFmtId="165" fontId="136" fillId="0" borderId="0" xfId="3" applyNumberFormat="1" applyFont="1" applyAlignment="1">
      <alignment horizontal="center" vertical="center"/>
    </xf>
    <xf numFmtId="165" fontId="136" fillId="0" borderId="0" xfId="1" applyNumberFormat="1" applyFont="1" applyAlignment="1">
      <alignment horizontal="center" vertical="center"/>
    </xf>
    <xf numFmtId="4" fontId="136" fillId="0" borderId="0" xfId="1" applyNumberFormat="1" applyFont="1" applyAlignment="1">
      <alignment horizontal="center" vertical="center"/>
    </xf>
    <xf numFmtId="0" fontId="135" fillId="0" borderId="0" xfId="0" applyFont="1" applyAlignment="1">
      <alignment vertical="center"/>
    </xf>
    <xf numFmtId="0" fontId="220" fillId="9" borderId="22" xfId="0" applyFont="1" applyFill="1" applyBorder="1" applyAlignment="1">
      <alignment horizontal="right" vertical="center"/>
    </xf>
    <xf numFmtId="4" fontId="135" fillId="0" borderId="0" xfId="0" applyNumberFormat="1" applyFont="1" applyAlignment="1">
      <alignment vertical="center"/>
    </xf>
    <xf numFmtId="165" fontId="135" fillId="0" borderId="0" xfId="0" applyNumberFormat="1" applyFont="1" applyAlignment="1">
      <alignment vertical="center"/>
    </xf>
    <xf numFmtId="4" fontId="220" fillId="9" borderId="23" xfId="0" applyNumberFormat="1" applyFont="1" applyFill="1" applyBorder="1" applyAlignment="1">
      <alignment vertical="center"/>
    </xf>
    <xf numFmtId="165" fontId="220" fillId="9" borderId="23" xfId="0" applyNumberFormat="1" applyFont="1" applyFill="1" applyBorder="1" applyAlignment="1">
      <alignment vertical="center"/>
    </xf>
    <xf numFmtId="14" fontId="134" fillId="0" borderId="0" xfId="0" applyNumberFormat="1" applyFont="1" applyAlignment="1">
      <alignment vertical="center"/>
    </xf>
    <xf numFmtId="0" fontId="134" fillId="0" borderId="0" xfId="0" applyFont="1" applyAlignment="1">
      <alignment horizontal="center" vertical="center"/>
    </xf>
    <xf numFmtId="14" fontId="134" fillId="0" borderId="0" xfId="0" applyNumberFormat="1" applyFont="1" applyAlignment="1">
      <alignment horizontal="center" vertical="center"/>
    </xf>
    <xf numFmtId="4" fontId="134" fillId="0" borderId="0" xfId="0" applyNumberFormat="1" applyFont="1" applyAlignment="1">
      <alignment horizontal="center" vertical="center"/>
    </xf>
    <xf numFmtId="167" fontId="134" fillId="0" borderId="0" xfId="0" applyNumberFormat="1" applyFont="1" applyAlignment="1">
      <alignment horizontal="center" vertical="center"/>
    </xf>
    <xf numFmtId="165" fontId="134" fillId="0" borderId="0" xfId="1" applyNumberFormat="1" applyFont="1" applyAlignment="1">
      <alignment horizontal="center" vertical="center"/>
    </xf>
    <xf numFmtId="0" fontId="134" fillId="0" borderId="0" xfId="0" applyFont="1" applyAlignment="1">
      <alignment horizontal="center" vertical="center" wrapText="1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3" fillId="0" borderId="0" xfId="0" applyFont="1" applyAlignment="1">
      <alignment horizontal="center" vertical="center"/>
    </xf>
    <xf numFmtId="4" fontId="133" fillId="0" borderId="0" xfId="0" applyNumberFormat="1" applyFont="1" applyAlignment="1">
      <alignment horizontal="center" vertical="center"/>
    </xf>
    <xf numFmtId="4" fontId="134" fillId="10" borderId="0" xfId="0" applyNumberFormat="1" applyFont="1" applyFill="1" applyAlignment="1">
      <alignment horizontal="center"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2" fillId="0" borderId="0" xfId="0" applyFont="1" applyAlignment="1">
      <alignment horizontal="center"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30" fillId="0" borderId="0" xfId="0" applyFont="1" applyAlignment="1">
      <alignment horizontal="center"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10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8" fillId="0" borderId="0" xfId="0" applyFont="1" applyAlignment="1">
      <alignment horizontal="center"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/>
    <xf numFmtId="0" fontId="126" fillId="0" borderId="0" xfId="0" applyFont="1" applyAlignment="1">
      <alignment horizontal="center" vertical="center"/>
    </xf>
    <xf numFmtId="16" fontId="126" fillId="0" borderId="0" xfId="0" applyNumberFormat="1" applyFont="1" applyAlignment="1">
      <alignment horizontal="center" vertical="center"/>
    </xf>
    <xf numFmtId="4" fontId="126" fillId="0" borderId="0" xfId="0" applyNumberFormat="1" applyFont="1" applyAlignment="1">
      <alignment horizontal="center" vertical="center"/>
    </xf>
    <xf numFmtId="4" fontId="220" fillId="0" borderId="0" xfId="0" applyNumberFormat="1" applyFont="1" applyAlignment="1">
      <alignment horizontal="center" vertical="center"/>
    </xf>
    <xf numFmtId="4" fontId="125" fillId="0" borderId="0" xfId="1" applyNumberFormat="1" applyFont="1" applyAlignment="1">
      <alignment horizontal="center" vertical="center"/>
    </xf>
    <xf numFmtId="10" fontId="125" fillId="0" borderId="0" xfId="1" applyNumberFormat="1" applyFont="1" applyAlignment="1">
      <alignment horizontal="center" vertical="center"/>
    </xf>
    <xf numFmtId="0" fontId="125" fillId="0" borderId="0" xfId="0" applyFont="1" applyAlignment="1">
      <alignment horizontal="center" vertical="center"/>
    </xf>
    <xf numFmtId="0" fontId="125" fillId="0" borderId="0" xfId="0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4" fontId="124" fillId="0" borderId="0" xfId="0" applyNumberFormat="1" applyFont="1" applyAlignment="1">
      <alignment horizontal="center" vertical="center"/>
    </xf>
    <xf numFmtId="16" fontId="124" fillId="0" borderId="0" xfId="0" applyNumberFormat="1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4" fontId="124" fillId="0" borderId="0" xfId="1" applyNumberFormat="1" applyFont="1" applyAlignment="1">
      <alignment horizontal="center" vertical="center"/>
    </xf>
    <xf numFmtId="10" fontId="124" fillId="0" borderId="0" xfId="1" applyNumberFormat="1" applyFont="1" applyAlignment="1">
      <alignment horizontal="center" vertical="center"/>
    </xf>
    <xf numFmtId="4" fontId="123" fillId="0" borderId="0" xfId="0" applyNumberFormat="1" applyFont="1" applyAlignment="1">
      <alignment horizontal="center" vertical="center"/>
    </xf>
    <xf numFmtId="0" fontId="123" fillId="0" borderId="0" xfId="0" applyFont="1"/>
    <xf numFmtId="165" fontId="126" fillId="0" borderId="0" xfId="1" applyNumberFormat="1" applyFont="1"/>
    <xf numFmtId="4" fontId="126" fillId="0" borderId="0" xfId="0" applyNumberFormat="1" applyFont="1"/>
    <xf numFmtId="16" fontId="227" fillId="0" borderId="0" xfId="0" applyNumberFormat="1" applyFont="1" applyAlignment="1">
      <alignment horizontal="center" vertical="center"/>
    </xf>
    <xf numFmtId="0" fontId="227" fillId="0" borderId="0" xfId="0" applyFont="1" applyAlignment="1">
      <alignment horizontal="center" vertical="center"/>
    </xf>
    <xf numFmtId="4" fontId="227" fillId="0" borderId="0" xfId="0" applyNumberFormat="1" applyFont="1" applyAlignment="1">
      <alignment horizontal="center" vertical="center"/>
    </xf>
    <xf numFmtId="4" fontId="227" fillId="0" borderId="0" xfId="1" applyNumberFormat="1" applyFont="1" applyAlignment="1">
      <alignment horizontal="center" vertical="center"/>
    </xf>
    <xf numFmtId="10" fontId="227" fillId="0" borderId="0" xfId="1" applyNumberFormat="1" applyFont="1" applyAlignment="1">
      <alignment horizontal="center" vertical="center"/>
    </xf>
    <xf numFmtId="4" fontId="228" fillId="0" borderId="0" xfId="0" applyNumberFormat="1" applyFont="1" applyAlignment="1">
      <alignment horizontal="center" vertical="center" wrapText="1"/>
    </xf>
    <xf numFmtId="20" fontId="124" fillId="0" borderId="0" xfId="0" applyNumberFormat="1" applyFont="1" applyAlignment="1">
      <alignment horizontal="center" vertical="center"/>
    </xf>
    <xf numFmtId="20" fontId="126" fillId="0" borderId="0" xfId="0" applyNumberFormat="1" applyFont="1" applyAlignment="1">
      <alignment horizontal="center" vertical="center"/>
    </xf>
    <xf numFmtId="4" fontId="122" fillId="0" borderId="0" xfId="0" applyNumberFormat="1" applyFont="1" applyAlignment="1">
      <alignment horizontal="center" vertical="center"/>
    </xf>
    <xf numFmtId="0" fontId="122" fillId="0" borderId="0" xfId="0" applyFont="1" applyAlignment="1">
      <alignment horizontal="center" vertical="center"/>
    </xf>
    <xf numFmtId="20" fontId="227" fillId="0" borderId="0" xfId="0" applyNumberFormat="1" applyFont="1" applyAlignment="1">
      <alignment horizontal="center" vertical="center"/>
    </xf>
    <xf numFmtId="16" fontId="126" fillId="0" borderId="0" xfId="0" applyNumberFormat="1" applyFont="1"/>
    <xf numFmtId="16" fontId="122" fillId="0" borderId="0" xfId="0" applyNumberFormat="1" applyFont="1" applyAlignment="1">
      <alignment horizontal="center" vertical="center"/>
    </xf>
    <xf numFmtId="10" fontId="122" fillId="0" borderId="0" xfId="1" applyNumberFormat="1" applyFont="1" applyAlignment="1">
      <alignment horizontal="center" vertical="center"/>
    </xf>
    <xf numFmtId="4" fontId="122" fillId="0" borderId="0" xfId="1" applyNumberFormat="1" applyFont="1" applyAlignment="1">
      <alignment horizontal="center" vertical="center"/>
    </xf>
    <xf numFmtId="20" fontId="122" fillId="0" borderId="0" xfId="0" applyNumberFormat="1" applyFont="1" applyAlignment="1">
      <alignment horizontal="center" vertical="center"/>
    </xf>
    <xf numFmtId="4" fontId="125" fillId="0" borderId="0" xfId="0" applyNumberFormat="1" applyFont="1" applyAlignment="1">
      <alignment horizontal="center"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4" fontId="120" fillId="0" borderId="0" xfId="0" applyNumberFormat="1" applyFont="1" applyAlignment="1">
      <alignment horizontal="center" vertical="center"/>
    </xf>
    <xf numFmtId="0" fontId="119" fillId="0" borderId="0" xfId="0" applyFont="1"/>
    <xf numFmtId="16" fontId="227" fillId="10" borderId="0" xfId="0" applyNumberFormat="1" applyFont="1" applyFill="1" applyAlignment="1">
      <alignment horizontal="center" vertical="center"/>
    </xf>
    <xf numFmtId="0" fontId="227" fillId="10" borderId="0" xfId="0" applyFont="1" applyFill="1" applyAlignment="1">
      <alignment horizontal="center" vertical="center"/>
    </xf>
    <xf numFmtId="0" fontId="126" fillId="10" borderId="0" xfId="0" applyFont="1" applyFill="1" applyAlignment="1">
      <alignment horizontal="center" vertical="center"/>
    </xf>
    <xf numFmtId="4" fontId="227" fillId="10" borderId="0" xfId="0" applyNumberFormat="1" applyFont="1" applyFill="1" applyAlignment="1">
      <alignment horizontal="center" vertical="center"/>
    </xf>
    <xf numFmtId="10" fontId="227" fillId="10" borderId="0" xfId="1" applyNumberFormat="1" applyFont="1" applyFill="1" applyAlignment="1">
      <alignment horizontal="center" vertical="center"/>
    </xf>
    <xf numFmtId="4" fontId="227" fillId="10" borderId="0" xfId="1" applyNumberFormat="1" applyFont="1" applyFill="1" applyAlignment="1">
      <alignment horizontal="center" vertical="center"/>
    </xf>
    <xf numFmtId="0" fontId="118" fillId="0" borderId="0" xfId="0" applyFont="1"/>
    <xf numFmtId="4" fontId="118" fillId="0" borderId="0" xfId="0" applyNumberFormat="1" applyFont="1" applyAlignment="1">
      <alignment horizontal="center" vertical="center"/>
    </xf>
    <xf numFmtId="4" fontId="117" fillId="0" borderId="0" xfId="0" applyNumberFormat="1" applyFont="1" applyAlignment="1">
      <alignment horizontal="center"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7" fillId="0" borderId="0" xfId="0" applyFont="1" applyAlignment="1">
      <alignment horizontal="center" vertical="center"/>
    </xf>
    <xf numFmtId="164" fontId="134" fillId="0" borderId="0" xfId="0" applyNumberFormat="1" applyFont="1" applyAlignment="1">
      <alignment horizontal="center" vertical="center"/>
    </xf>
    <xf numFmtId="0" fontId="117" fillId="0" borderId="0" xfId="2" applyFont="1" applyAlignment="1">
      <alignment horizontal="center" vertical="center"/>
    </xf>
    <xf numFmtId="0" fontId="116" fillId="0" borderId="0" xfId="0" applyFont="1" applyAlignment="1">
      <alignment horizontal="center" vertical="center"/>
    </xf>
    <xf numFmtId="10" fontId="134" fillId="0" borderId="0" xfId="0" applyNumberFormat="1" applyFont="1" applyAlignment="1">
      <alignment horizontal="center" vertical="center"/>
    </xf>
    <xf numFmtId="10" fontId="134" fillId="0" borderId="0" xfId="1" applyNumberFormat="1" applyFont="1" applyAlignment="1">
      <alignment horizontal="center" vertical="center"/>
    </xf>
    <xf numFmtId="4" fontId="134" fillId="3" borderId="0" xfId="0" applyNumberFormat="1" applyFont="1" applyFill="1" applyAlignment="1">
      <alignment horizontal="center" vertical="center"/>
    </xf>
    <xf numFmtId="10" fontId="134" fillId="3" borderId="0" xfId="0" applyNumberFormat="1" applyFont="1" applyFill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5" fillId="0" borderId="0" xfId="0" applyNumberFormat="1" applyFont="1" applyAlignment="1">
      <alignment horizontal="center" vertical="center"/>
    </xf>
    <xf numFmtId="0" fontId="115" fillId="0" borderId="0" xfId="0" applyFont="1" applyAlignment="1">
      <alignment horizontal="center" vertical="center"/>
    </xf>
    <xf numFmtId="164" fontId="115" fillId="0" borderId="0" xfId="0" applyNumberFormat="1" applyFont="1" applyAlignment="1">
      <alignment horizontal="center" vertical="center"/>
    </xf>
    <xf numFmtId="4" fontId="115" fillId="0" borderId="0" xfId="0" applyNumberFormat="1" applyFont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4" fillId="0" borderId="0" xfId="0" applyNumberFormat="1" applyFont="1" applyAlignment="1">
      <alignment horizontal="center" vertical="center"/>
    </xf>
    <xf numFmtId="0" fontId="114" fillId="0" borderId="0" xfId="0" applyFont="1" applyAlignment="1">
      <alignment horizontal="center" vertical="center"/>
    </xf>
    <xf numFmtId="164" fontId="114" fillId="0" borderId="0" xfId="0" applyNumberFormat="1" applyFont="1" applyAlignment="1">
      <alignment horizontal="center" vertical="center"/>
    </xf>
    <xf numFmtId="4" fontId="114" fillId="0" borderId="0" xfId="0" applyNumberFormat="1" applyFont="1" applyAlignment="1">
      <alignment horizontal="center" vertical="center"/>
    </xf>
    <xf numFmtId="165" fontId="114" fillId="0" borderId="0" xfId="1" applyNumberFormat="1" applyFont="1" applyAlignment="1">
      <alignment horizontal="center"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3" fillId="0" borderId="0" xfId="0" applyNumberFormat="1" applyFont="1" applyAlignment="1">
      <alignment horizontal="center" vertical="center"/>
    </xf>
    <xf numFmtId="0" fontId="113" fillId="0" borderId="0" xfId="0" applyFont="1" applyAlignment="1">
      <alignment horizontal="center" vertical="center"/>
    </xf>
    <xf numFmtId="164" fontId="113" fillId="0" borderId="0" xfId="0" applyNumberFormat="1" applyFont="1" applyAlignment="1">
      <alignment horizontal="center" vertical="center"/>
    </xf>
    <xf numFmtId="4" fontId="113" fillId="0" borderId="0" xfId="0" applyNumberFormat="1" applyFont="1" applyAlignment="1">
      <alignment horizontal="center" vertical="center"/>
    </xf>
    <xf numFmtId="165" fontId="113" fillId="0" borderId="0" xfId="1" applyNumberFormat="1" applyFont="1" applyAlignment="1">
      <alignment horizontal="center" vertical="center"/>
    </xf>
    <xf numFmtId="4" fontId="113" fillId="3" borderId="0" xfId="0" applyNumberFormat="1" applyFont="1" applyFill="1" applyAlignment="1">
      <alignment horizontal="center"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2" fillId="0" borderId="0" xfId="0" applyNumberFormat="1" applyFont="1" applyAlignment="1">
      <alignment horizontal="center" vertical="center"/>
    </xf>
    <xf numFmtId="0" fontId="112" fillId="0" borderId="0" xfId="0" applyFont="1" applyAlignment="1">
      <alignment horizontal="center" vertical="center"/>
    </xf>
    <xf numFmtId="164" fontId="112" fillId="0" borderId="0" xfId="0" applyNumberFormat="1" applyFont="1" applyAlignment="1">
      <alignment horizontal="center" vertical="center"/>
    </xf>
    <xf numFmtId="4" fontId="112" fillId="0" borderId="0" xfId="0" applyNumberFormat="1" applyFont="1" applyAlignment="1">
      <alignment horizontal="center" vertical="center"/>
    </xf>
    <xf numFmtId="165" fontId="112" fillId="0" borderId="0" xfId="1" applyNumberFormat="1" applyFont="1" applyAlignment="1">
      <alignment horizontal="center"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1" fillId="0" borderId="0" xfId="0" applyNumberFormat="1" applyFont="1" applyAlignment="1">
      <alignment horizontal="center" vertical="center"/>
    </xf>
    <xf numFmtId="0" fontId="111" fillId="0" borderId="0" xfId="0" applyFont="1" applyAlignment="1">
      <alignment horizontal="center" vertical="center"/>
    </xf>
    <xf numFmtId="164" fontId="111" fillId="0" borderId="0" xfId="0" applyNumberFormat="1" applyFont="1" applyAlignment="1">
      <alignment horizontal="center" vertical="center"/>
    </xf>
    <xf numFmtId="4" fontId="111" fillId="0" borderId="0" xfId="0" applyNumberFormat="1" applyFont="1" applyAlignment="1">
      <alignment horizontal="center" vertical="center"/>
    </xf>
    <xf numFmtId="165" fontId="111" fillId="0" borderId="0" xfId="1" applyNumberFormat="1" applyFont="1" applyAlignment="1">
      <alignment horizontal="center"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9" fillId="0" borderId="0" xfId="0" applyNumberFormat="1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164" fontId="109" fillId="0" borderId="0" xfId="0" applyNumberFormat="1" applyFont="1" applyAlignment="1">
      <alignment horizontal="center" vertical="center"/>
    </xf>
    <xf numFmtId="4" fontId="109" fillId="0" borderId="0" xfId="0" applyNumberFormat="1" applyFont="1" applyAlignment="1">
      <alignment horizontal="center" vertical="center"/>
    </xf>
    <xf numFmtId="165" fontId="109" fillId="0" borderId="0" xfId="1" applyNumberFormat="1" applyFont="1" applyAlignment="1">
      <alignment horizontal="center"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horizontal="center" vertical="center"/>
    </xf>
    <xf numFmtId="14" fontId="107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165" fontId="107" fillId="0" borderId="0" xfId="1" applyNumberFormat="1" applyFont="1" applyAlignment="1">
      <alignment horizontal="center"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14" fontId="105" fillId="0" borderId="0" xfId="0" applyNumberFormat="1" applyFont="1" applyAlignment="1">
      <alignment horizontal="center" vertical="center"/>
    </xf>
    <xf numFmtId="0" fontId="105" fillId="0" borderId="0" xfId="0" applyFont="1" applyAlignment="1">
      <alignment horizontal="center" vertical="center"/>
    </xf>
    <xf numFmtId="164" fontId="105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165" fontId="105" fillId="0" borderId="0" xfId="1" applyNumberFormat="1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229" fillId="0" borderId="0" xfId="0" applyNumberFormat="1" applyFont="1" applyAlignment="1">
      <alignment horizontal="center" vertical="center"/>
    </xf>
    <xf numFmtId="0" fontId="229" fillId="0" borderId="0" xfId="0" applyFont="1" applyAlignment="1">
      <alignment horizontal="center" vertical="center"/>
    </xf>
    <xf numFmtId="164" fontId="229" fillId="0" borderId="0" xfId="0" applyNumberFormat="1" applyFont="1" applyAlignment="1">
      <alignment horizontal="center" vertical="center"/>
    </xf>
    <xf numFmtId="4" fontId="229" fillId="0" borderId="0" xfId="0" applyNumberFormat="1" applyFont="1" applyAlignment="1">
      <alignment horizontal="center" vertical="center"/>
    </xf>
    <xf numFmtId="165" fontId="229" fillId="0" borderId="0" xfId="1" applyNumberFormat="1" applyFont="1" applyAlignment="1">
      <alignment horizontal="center"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2" fillId="0" borderId="0" xfId="0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229" fillId="0" borderId="0" xfId="0" applyNumberFormat="1" applyFont="1" applyAlignment="1">
      <alignment vertical="center"/>
    </xf>
    <xf numFmtId="4" fontId="229" fillId="0" borderId="0" xfId="0" applyNumberFormat="1" applyFont="1" applyAlignment="1">
      <alignment vertical="center"/>
    </xf>
    <xf numFmtId="10" fontId="229" fillId="0" borderId="0" xfId="0" applyNumberFormat="1" applyFont="1" applyBorder="1" applyAlignment="1">
      <alignment vertical="center"/>
    </xf>
    <xf numFmtId="3" fontId="229" fillId="0" borderId="0" xfId="0" applyNumberFormat="1" applyFont="1" applyAlignment="1">
      <alignment vertical="center"/>
    </xf>
    <xf numFmtId="0" fontId="101" fillId="0" borderId="0" xfId="0" applyFont="1" applyAlignment="1">
      <alignment horizontal="center" vertical="center"/>
    </xf>
    <xf numFmtId="0" fontId="229" fillId="0" borderId="0" xfId="0" applyFont="1" applyFill="1" applyAlignment="1">
      <alignment vertical="center"/>
    </xf>
    <xf numFmtId="4" fontId="229" fillId="0" borderId="0" xfId="0" applyNumberFormat="1" applyFont="1" applyFill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100" fillId="0" borderId="0" xfId="0" applyNumberFormat="1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164" fontId="100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165" fontId="100" fillId="0" borderId="0" xfId="1" applyNumberFormat="1" applyFont="1" applyAlignment="1">
      <alignment horizontal="center"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100" fillId="0" borderId="0" xfId="0" applyFont="1" applyAlignment="1">
      <alignment horizontal="left" vertical="center"/>
    </xf>
    <xf numFmtId="0" fontId="107" fillId="0" borderId="0" xfId="0" applyFont="1" applyAlignment="1">
      <alignment horizontal="left" vertical="center"/>
    </xf>
    <xf numFmtId="0" fontId="100" fillId="0" borderId="0" xfId="4" applyFont="1" applyAlignment="1">
      <alignment vertical="center"/>
    </xf>
    <xf numFmtId="4" fontId="100" fillId="3" borderId="0" xfId="4" applyNumberFormat="1" applyFont="1" applyFill="1" applyAlignment="1">
      <alignment vertical="center"/>
    </xf>
    <xf numFmtId="165" fontId="100" fillId="3" borderId="0" xfId="4" applyNumberFormat="1" applyFont="1" applyFill="1" applyAlignment="1">
      <alignment vertical="center"/>
    </xf>
    <xf numFmtId="4" fontId="100" fillId="0" borderId="0" xfId="4" applyNumberFormat="1" applyFont="1" applyAlignment="1">
      <alignment vertical="center"/>
    </xf>
    <xf numFmtId="9" fontId="100" fillId="0" borderId="0" xfId="4" applyNumberFormat="1" applyFont="1" applyAlignment="1">
      <alignment vertical="center"/>
    </xf>
    <xf numFmtId="165" fontId="100" fillId="0" borderId="0" xfId="4" applyNumberFormat="1" applyFont="1" applyAlignment="1">
      <alignment vertical="center"/>
    </xf>
    <xf numFmtId="168" fontId="100" fillId="0" borderId="0" xfId="4" applyNumberFormat="1" applyFont="1" applyAlignment="1">
      <alignment vertical="center"/>
    </xf>
    <xf numFmtId="10" fontId="100" fillId="0" borderId="0" xfId="5" applyNumberFormat="1" applyFont="1" applyAlignment="1">
      <alignment vertical="center"/>
    </xf>
    <xf numFmtId="0" fontId="100" fillId="3" borderId="0" xfId="4" applyFont="1" applyFill="1" applyAlignment="1">
      <alignment vertical="center"/>
    </xf>
    <xf numFmtId="4" fontId="100" fillId="0" borderId="0" xfId="4" applyNumberFormat="1" applyFont="1" applyFill="1" applyAlignment="1">
      <alignment vertical="center"/>
    </xf>
    <xf numFmtId="165" fontId="100" fillId="0" borderId="0" xfId="5" applyNumberFormat="1" applyFont="1" applyFill="1" applyAlignment="1">
      <alignment vertical="center"/>
    </xf>
    <xf numFmtId="0" fontId="220" fillId="11" borderId="24" xfId="4" applyFont="1" applyFill="1" applyBorder="1" applyAlignment="1">
      <alignment vertical="center"/>
    </xf>
    <xf numFmtId="10" fontId="220" fillId="11" borderId="25" xfId="5" applyNumberFormat="1" applyFont="1" applyFill="1" applyBorder="1" applyAlignment="1">
      <alignment vertical="center"/>
    </xf>
    <xf numFmtId="0" fontId="220" fillId="11" borderId="26" xfId="4" applyFont="1" applyFill="1" applyBorder="1" applyAlignment="1">
      <alignment vertical="center"/>
    </xf>
    <xf numFmtId="4" fontId="220" fillId="11" borderId="27" xfId="4" applyNumberFormat="1" applyFont="1" applyFill="1" applyBorder="1" applyAlignment="1">
      <alignment vertical="center"/>
    </xf>
    <xf numFmtId="0" fontId="220" fillId="12" borderId="4" xfId="4" applyFont="1" applyFill="1" applyBorder="1" applyAlignment="1">
      <alignment vertical="center"/>
    </xf>
    <xf numFmtId="10" fontId="220" fillId="12" borderId="6" xfId="5" applyNumberFormat="1" applyFont="1" applyFill="1" applyBorder="1" applyAlignment="1">
      <alignment vertical="center"/>
    </xf>
    <xf numFmtId="0" fontId="220" fillId="13" borderId="24" xfId="4" applyFont="1" applyFill="1" applyBorder="1" applyAlignment="1">
      <alignment vertical="center"/>
    </xf>
    <xf numFmtId="10" fontId="220" fillId="13" borderId="25" xfId="5" applyNumberFormat="1" applyFont="1" applyFill="1" applyBorder="1" applyAlignment="1">
      <alignment vertical="center"/>
    </xf>
    <xf numFmtId="0" fontId="220" fillId="13" borderId="26" xfId="4" applyFont="1" applyFill="1" applyBorder="1" applyAlignment="1">
      <alignment vertical="center"/>
    </xf>
    <xf numFmtId="10" fontId="220" fillId="13" borderId="27" xfId="5" applyNumberFormat="1" applyFont="1" applyFill="1" applyBorder="1" applyAlignment="1">
      <alignment vertical="center"/>
    </xf>
    <xf numFmtId="166" fontId="100" fillId="3" borderId="0" xfId="4" applyNumberFormat="1" applyFont="1" applyFill="1" applyAlignment="1">
      <alignment vertical="center"/>
    </xf>
    <xf numFmtId="0" fontId="99" fillId="0" borderId="0" xfId="4" applyFont="1" applyAlignment="1">
      <alignment vertical="center"/>
    </xf>
    <xf numFmtId="0" fontId="100" fillId="3" borderId="25" xfId="4" applyFont="1" applyFill="1" applyBorder="1" applyAlignment="1">
      <alignment vertical="center"/>
    </xf>
    <xf numFmtId="0" fontId="220" fillId="0" borderId="24" xfId="4" applyFont="1" applyBorder="1" applyAlignment="1">
      <alignment vertical="center"/>
    </xf>
    <xf numFmtId="0" fontId="220" fillId="0" borderId="26" xfId="4" applyFont="1" applyBorder="1" applyAlignment="1">
      <alignment vertical="center"/>
    </xf>
    <xf numFmtId="165" fontId="100" fillId="0" borderId="27" xfId="1" applyNumberFormat="1" applyFont="1" applyBorder="1" applyAlignment="1">
      <alignment vertical="center"/>
    </xf>
    <xf numFmtId="4" fontId="100" fillId="3" borderId="25" xfId="4" applyNumberFormat="1" applyFont="1" applyFill="1" applyBorder="1" applyAlignment="1">
      <alignment vertical="center"/>
    </xf>
    <xf numFmtId="4" fontId="100" fillId="0" borderId="27" xfId="4" applyNumberFormat="1" applyFont="1" applyBorder="1" applyAlignment="1">
      <alignment vertical="center"/>
    </xf>
    <xf numFmtId="165" fontId="100" fillId="0" borderId="0" xfId="1" applyNumberFormat="1" applyFont="1" applyAlignment="1">
      <alignment vertical="center"/>
    </xf>
    <xf numFmtId="4" fontId="100" fillId="0" borderId="0" xfId="4" applyNumberFormat="1" applyFont="1" applyBorder="1" applyAlignment="1">
      <alignment vertical="center"/>
    </xf>
    <xf numFmtId="0" fontId="98" fillId="0" borderId="0" xfId="4" applyFont="1" applyAlignment="1">
      <alignment vertical="center"/>
    </xf>
    <xf numFmtId="4" fontId="100" fillId="0" borderId="0" xfId="1" applyNumberFormat="1" applyFont="1" applyAlignment="1">
      <alignment vertical="center"/>
    </xf>
    <xf numFmtId="4" fontId="98" fillId="0" borderId="0" xfId="4" applyNumberFormat="1" applyFont="1" applyAlignment="1">
      <alignment vertical="center"/>
    </xf>
    <xf numFmtId="165" fontId="100" fillId="3" borderId="0" xfId="1" applyNumberFormat="1" applyFont="1" applyFill="1" applyAlignment="1">
      <alignment vertical="center"/>
    </xf>
    <xf numFmtId="0" fontId="220" fillId="0" borderId="0" xfId="4" applyFont="1" applyBorder="1" applyAlignment="1">
      <alignment vertical="center"/>
    </xf>
    <xf numFmtId="165" fontId="97" fillId="3" borderId="0" xfId="4" applyNumberFormat="1" applyFont="1" applyFill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6" fillId="0" borderId="0" xfId="0" applyFont="1"/>
    <xf numFmtId="0" fontId="96" fillId="0" borderId="0" xfId="0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0" fontId="96" fillId="0" borderId="0" xfId="0" applyFont="1" applyAlignment="1">
      <alignment horizontal="center" vertical="center"/>
    </xf>
    <xf numFmtId="0" fontId="219" fillId="0" borderId="0" xfId="0" applyFont="1" applyFill="1" applyBorder="1" applyAlignment="1">
      <alignment vertical="center"/>
    </xf>
    <xf numFmtId="0" fontId="218" fillId="0" borderId="0" xfId="0" applyFont="1" applyFill="1" applyAlignment="1">
      <alignment vertical="center"/>
    </xf>
    <xf numFmtId="0" fontId="223" fillId="0" borderId="0" xfId="0" applyFont="1" applyFill="1" applyAlignment="1">
      <alignment vertical="center"/>
    </xf>
    <xf numFmtId="0" fontId="217" fillId="0" borderId="0" xfId="0" applyFont="1" applyFill="1" applyAlignment="1">
      <alignment vertical="center"/>
    </xf>
    <xf numFmtId="0" fontId="215" fillId="0" borderId="0" xfId="0" applyFont="1" applyFill="1" applyAlignment="1">
      <alignment vertical="center"/>
    </xf>
    <xf numFmtId="0" fontId="214" fillId="0" borderId="0" xfId="0" applyFont="1" applyFill="1" applyAlignment="1">
      <alignment vertical="center"/>
    </xf>
    <xf numFmtId="0" fontId="213" fillId="0" borderId="0" xfId="0" applyFont="1" applyFill="1" applyAlignment="1">
      <alignment vertical="center"/>
    </xf>
    <xf numFmtId="0" fontId="211" fillId="0" borderId="0" xfId="0" applyFont="1" applyFill="1" applyAlignment="1">
      <alignment vertical="center"/>
    </xf>
    <xf numFmtId="0" fontId="210" fillId="0" borderId="0" xfId="0" applyFont="1" applyFill="1" applyAlignment="1">
      <alignment vertical="center"/>
    </xf>
    <xf numFmtId="0" fontId="208" fillId="0" borderId="0" xfId="0" applyFont="1" applyFill="1" applyAlignment="1">
      <alignment vertical="center"/>
    </xf>
    <xf numFmtId="0" fontId="207" fillId="0" borderId="0" xfId="0" applyFont="1" applyFill="1" applyAlignment="1">
      <alignment vertical="center"/>
    </xf>
    <xf numFmtId="0" fontId="204" fillId="0" borderId="0" xfId="0" applyFont="1" applyFill="1" applyAlignment="1">
      <alignment vertical="center"/>
    </xf>
    <xf numFmtId="0" fontId="202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199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1" fillId="0" borderId="0" xfId="0" applyFont="1" applyFill="1" applyBorder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4" fontId="219" fillId="0" borderId="0" xfId="0" applyNumberFormat="1" applyFont="1" applyFill="1" applyAlignment="1">
      <alignment vertical="center"/>
    </xf>
    <xf numFmtId="4" fontId="219" fillId="0" borderId="0" xfId="0" applyNumberFormat="1" applyFont="1" applyFill="1" applyBorder="1" applyAlignment="1">
      <alignment vertical="center"/>
    </xf>
    <xf numFmtId="4" fontId="218" fillId="0" borderId="0" xfId="0" applyNumberFormat="1" applyFont="1" applyFill="1" applyAlignment="1">
      <alignment vertical="center"/>
    </xf>
    <xf numFmtId="4" fontId="223" fillId="0" borderId="0" xfId="0" applyNumberFormat="1" applyFont="1" applyFill="1" applyAlignment="1">
      <alignment vertical="center"/>
    </xf>
    <xf numFmtId="4" fontId="217" fillId="0" borderId="0" xfId="0" applyNumberFormat="1" applyFont="1" applyFill="1" applyAlignment="1">
      <alignment vertical="center"/>
    </xf>
    <xf numFmtId="4" fontId="215" fillId="0" borderId="0" xfId="0" applyNumberFormat="1" applyFont="1" applyFill="1" applyAlignment="1">
      <alignment vertical="center"/>
    </xf>
    <xf numFmtId="4" fontId="214" fillId="0" borderId="0" xfId="0" applyNumberFormat="1" applyFont="1" applyFill="1" applyAlignment="1">
      <alignment vertical="center"/>
    </xf>
    <xf numFmtId="4" fontId="213" fillId="0" borderId="0" xfId="0" applyNumberFormat="1" applyFont="1" applyFill="1" applyAlignment="1">
      <alignment vertical="center"/>
    </xf>
    <xf numFmtId="4" fontId="211" fillId="0" borderId="0" xfId="0" applyNumberFormat="1" applyFont="1" applyFill="1" applyAlignment="1">
      <alignment vertical="center"/>
    </xf>
    <xf numFmtId="4" fontId="210" fillId="0" borderId="0" xfId="0" applyNumberFormat="1" applyFont="1" applyFill="1" applyAlignment="1">
      <alignment vertical="center"/>
    </xf>
    <xf numFmtId="4" fontId="208" fillId="0" borderId="0" xfId="0" applyNumberFormat="1" applyFont="1" applyFill="1" applyAlignment="1">
      <alignment vertical="center"/>
    </xf>
    <xf numFmtId="4" fontId="207" fillId="0" borderId="0" xfId="0" applyNumberFormat="1" applyFont="1" applyFill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1" fillId="0" borderId="0" xfId="0" applyNumberFormat="1" applyFont="1" applyFill="1" applyBorder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0" fontId="95" fillId="0" borderId="0" xfId="0" applyFont="1" applyFill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219" fillId="0" borderId="0" xfId="0" applyFont="1" applyAlignment="1">
      <alignment horizontal="center" vertical="center" wrapText="1"/>
    </xf>
    <xf numFmtId="0" fontId="94" fillId="0" borderId="0" xfId="0" applyFont="1" applyFill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4" fillId="0" borderId="0" xfId="0" applyFont="1" applyAlignment="1">
      <alignment horizontal="center" vertical="center"/>
    </xf>
    <xf numFmtId="16" fontId="220" fillId="0" borderId="0" xfId="0" applyNumberFormat="1" applyFont="1" applyFill="1" applyAlignment="1">
      <alignment horizontal="center" vertical="center"/>
    </xf>
    <xf numFmtId="4" fontId="219" fillId="0" borderId="0" xfId="0" applyNumberFormat="1" applyFont="1" applyFill="1" applyAlignment="1">
      <alignment horizontal="center" vertical="center"/>
    </xf>
    <xf numFmtId="0" fontId="219" fillId="0" borderId="0" xfId="0" applyFont="1" applyFill="1" applyAlignment="1">
      <alignment horizontal="center" vertical="center"/>
    </xf>
    <xf numFmtId="0" fontId="94" fillId="0" borderId="0" xfId="4" applyFont="1" applyAlignment="1">
      <alignment vertical="center"/>
    </xf>
    <xf numFmtId="0" fontId="93" fillId="0" borderId="0" xfId="0" applyFont="1" applyFill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2" fillId="0" borderId="0" xfId="0" applyFont="1" applyFill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219" fillId="3" borderId="0" xfId="0" applyFont="1" applyFill="1"/>
    <xf numFmtId="0" fontId="91" fillId="0" borderId="0" xfId="0" applyFont="1" applyFill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91" fillId="0" borderId="0" xfId="0" applyNumberFormat="1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0" fontId="220" fillId="0" borderId="0" xfId="0" applyFont="1"/>
    <xf numFmtId="0" fontId="90" fillId="0" borderId="0" xfId="0" applyFont="1" applyFill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89" fillId="0" borderId="0" xfId="0" applyFont="1" applyFill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8" fillId="0" borderId="0" xfId="0" applyFont="1" applyFill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0" fontId="88" fillId="0" borderId="0" xfId="0" applyFont="1" applyAlignment="1">
      <alignment horizontal="left" vertical="center"/>
    </xf>
    <xf numFmtId="4" fontId="88" fillId="0" borderId="0" xfId="0" applyNumberFormat="1" applyFont="1" applyAlignment="1">
      <alignment horizontal="center" vertical="center"/>
    </xf>
    <xf numFmtId="3" fontId="107" fillId="0" borderId="0" xfId="0" applyNumberFormat="1" applyFont="1" applyAlignment="1">
      <alignment horizontal="center" vertical="center"/>
    </xf>
    <xf numFmtId="0" fontId="87" fillId="0" borderId="0" xfId="0" applyFont="1" applyFill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Fill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0" fontId="85" fillId="0" borderId="0" xfId="0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horizontal="center" vertical="center"/>
    </xf>
    <xf numFmtId="4" fontId="220" fillId="0" borderId="0" xfId="0" applyNumberFormat="1" applyFont="1" applyFill="1" applyAlignment="1">
      <alignment horizontal="center" vertical="center"/>
    </xf>
    <xf numFmtId="0" fontId="84" fillId="0" borderId="0" xfId="0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3" fillId="0" borderId="0" xfId="0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231" fillId="15" borderId="1" xfId="0" applyFont="1" applyFill="1" applyBorder="1" applyAlignment="1">
      <alignment horizontal="center" vertical="center" wrapText="1"/>
    </xf>
    <xf numFmtId="0" fontId="231" fillId="15" borderId="1" xfId="0" applyFont="1" applyFill="1" applyBorder="1" applyAlignment="1">
      <alignment vertical="center" wrapText="1"/>
    </xf>
    <xf numFmtId="22" fontId="231" fillId="15" borderId="1" xfId="0" applyNumberFormat="1" applyFont="1" applyFill="1" applyBorder="1" applyAlignment="1">
      <alignment horizontal="center" vertical="center" wrapText="1"/>
    </xf>
    <xf numFmtId="8" fontId="232" fillId="15" borderId="1" xfId="0" applyNumberFormat="1" applyFont="1" applyFill="1" applyBorder="1" applyAlignment="1">
      <alignment horizontal="right" vertical="center" wrapText="1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1" fillId="0" borderId="0" xfId="0" applyFont="1" applyAlignment="1">
      <alignment horizontal="center" vertical="center"/>
    </xf>
    <xf numFmtId="14" fontId="81" fillId="0" borderId="0" xfId="0" applyNumberFormat="1" applyFont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165" fontId="81" fillId="0" borderId="0" xfId="1" applyNumberFormat="1" applyFont="1" applyAlignment="1">
      <alignment horizontal="center"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80" fillId="0" borderId="0" xfId="0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14" fontId="80" fillId="0" borderId="0" xfId="0" applyNumberFormat="1" applyFont="1" applyAlignment="1">
      <alignment horizontal="center" vertical="center"/>
    </xf>
    <xf numFmtId="164" fontId="80" fillId="0" borderId="0" xfId="0" applyNumberFormat="1" applyFont="1" applyAlignment="1">
      <alignment horizontal="center" vertical="center"/>
    </xf>
    <xf numFmtId="165" fontId="80" fillId="0" borderId="0" xfId="1" applyNumberFormat="1" applyFont="1" applyAlignment="1">
      <alignment horizontal="center"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164" fontId="79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165" fontId="79" fillId="0" borderId="0" xfId="1" applyNumberFormat="1" applyFont="1" applyAlignment="1">
      <alignment horizontal="center" vertical="center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77" fillId="0" borderId="0" xfId="0" applyNumberFormat="1" applyFont="1" applyFill="1" applyBorder="1" applyAlignment="1">
      <alignment horizontal="center" vertical="center"/>
    </xf>
    <xf numFmtId="0" fontId="77" fillId="0" borderId="0" xfId="0" applyFont="1" applyFill="1" applyBorder="1" applyAlignment="1">
      <alignment horizontal="center" vertical="center"/>
    </xf>
    <xf numFmtId="164" fontId="77" fillId="0" borderId="0" xfId="0" applyNumberFormat="1" applyFont="1" applyFill="1" applyBorder="1" applyAlignment="1">
      <alignment horizontal="center" vertical="center"/>
    </xf>
    <xf numFmtId="4" fontId="77" fillId="0" borderId="0" xfId="0" applyNumberFormat="1" applyFont="1" applyFill="1" applyBorder="1" applyAlignment="1">
      <alignment horizontal="center" vertical="center"/>
    </xf>
    <xf numFmtId="165" fontId="77" fillId="0" borderId="0" xfId="1" applyNumberFormat="1" applyFont="1" applyFill="1" applyBorder="1" applyAlignment="1">
      <alignment horizontal="center" vertical="center"/>
    </xf>
    <xf numFmtId="14" fontId="76" fillId="0" borderId="0" xfId="0" applyNumberFormat="1" applyFont="1" applyBorder="1" applyAlignment="1">
      <alignment horizontal="center" vertical="center"/>
    </xf>
    <xf numFmtId="164" fontId="76" fillId="0" borderId="0" xfId="0" applyNumberFormat="1" applyFont="1" applyBorder="1" applyAlignment="1">
      <alignment horizontal="center" vertical="center"/>
    </xf>
    <xf numFmtId="4" fontId="76" fillId="0" borderId="0" xfId="0" applyNumberFormat="1" applyFont="1" applyBorder="1" applyAlignment="1">
      <alignment horizontal="center" vertical="center"/>
    </xf>
    <xf numFmtId="165" fontId="76" fillId="0" borderId="0" xfId="1" applyNumberFormat="1" applyFont="1" applyBorder="1" applyAlignment="1">
      <alignment horizontal="center" vertical="center"/>
    </xf>
    <xf numFmtId="0" fontId="76" fillId="0" borderId="0" xfId="0" applyFont="1" applyFill="1" applyBorder="1" applyAlignment="1">
      <alignment horizontal="center"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2" fillId="0" borderId="0" xfId="0" applyFont="1"/>
    <xf numFmtId="0" fontId="72" fillId="0" borderId="0" xfId="0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3" fontId="72" fillId="0" borderId="0" xfId="0" applyNumberFormat="1" applyFont="1" applyAlignment="1">
      <alignment horizontal="center" vertical="center"/>
    </xf>
    <xf numFmtId="165" fontId="72" fillId="0" borderId="0" xfId="0" applyNumberFormat="1" applyFont="1" applyAlignment="1">
      <alignment horizontal="center" vertical="center"/>
    </xf>
    <xf numFmtId="4" fontId="72" fillId="0" borderId="0" xfId="1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top"/>
    </xf>
    <xf numFmtId="0" fontId="71" fillId="0" borderId="0" xfId="0" applyFont="1" applyAlignment="1">
      <alignment horizontal="center" vertical="center"/>
    </xf>
    <xf numFmtId="165" fontId="72" fillId="3" borderId="0" xfId="1" applyNumberFormat="1" applyFont="1" applyFill="1" applyAlignment="1">
      <alignment horizontal="center" vertical="center"/>
    </xf>
    <xf numFmtId="3" fontId="72" fillId="0" borderId="0" xfId="1" applyNumberFormat="1" applyFont="1" applyAlignment="1">
      <alignment horizontal="center"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70" fillId="0" borderId="0" xfId="0" applyFont="1"/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Alignment="1">
      <alignment vertical="center"/>
    </xf>
    <xf numFmtId="4" fontId="68" fillId="0" borderId="0" xfId="0" applyNumberFormat="1" applyFont="1" applyAlignment="1">
      <alignment vertical="center"/>
    </xf>
    <xf numFmtId="0" fontId="68" fillId="0" borderId="0" xfId="0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/>
    </xf>
    <xf numFmtId="0" fontId="67" fillId="0" borderId="0" xfId="0" applyFont="1"/>
    <xf numFmtId="0" fontId="67" fillId="0" borderId="0" xfId="0" applyFont="1" applyAlignment="1">
      <alignment vertical="center"/>
    </xf>
    <xf numFmtId="3" fontId="67" fillId="0" borderId="0" xfId="0" applyNumberFormat="1" applyFont="1" applyAlignment="1">
      <alignment vertical="center"/>
    </xf>
    <xf numFmtId="3" fontId="67" fillId="0" borderId="0" xfId="0" applyNumberFormat="1" applyFont="1" applyBorder="1" applyAlignment="1">
      <alignment vertical="center"/>
    </xf>
    <xf numFmtId="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horizontal="center" vertical="center"/>
    </xf>
    <xf numFmtId="0" fontId="220" fillId="3" borderId="0" xfId="0" applyFont="1" applyFill="1" applyAlignment="1">
      <alignment horizontal="center" vertical="center" wrapText="1"/>
    </xf>
    <xf numFmtId="0" fontId="220" fillId="0" borderId="0" xfId="0" applyFont="1" applyAlignment="1">
      <alignment horizontal="center" vertical="top" wrapText="1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1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0" fontId="61" fillId="0" borderId="0" xfId="0" applyFont="1" applyAlignment="1">
      <alignment horizontal="center"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Alignment="1">
      <alignment horizontal="center"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4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4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169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169" fontId="42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169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169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169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169" fontId="37" fillId="0" borderId="0" xfId="0" applyNumberFormat="1" applyFont="1" applyAlignment="1">
      <alignment vertical="center"/>
    </xf>
    <xf numFmtId="4" fontId="36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169" fontId="34" fillId="0" borderId="0" xfId="0" applyNumberFormat="1" applyFont="1" applyAlignment="1">
      <alignment vertical="center"/>
    </xf>
    <xf numFmtId="4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169" fontId="32" fillId="0" borderId="0" xfId="0" applyNumberFormat="1" applyFont="1" applyAlignment="1">
      <alignment vertical="center"/>
    </xf>
    <xf numFmtId="49" fontId="219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213" fillId="0" borderId="0" xfId="0" applyNumberFormat="1" applyFont="1" applyAlignment="1">
      <alignment vertical="center"/>
    </xf>
    <xf numFmtId="49" fontId="218" fillId="0" borderId="0" xfId="0" applyNumberFormat="1" applyFont="1" applyAlignment="1">
      <alignment vertical="center"/>
    </xf>
    <xf numFmtId="49" fontId="223" fillId="0" borderId="0" xfId="0" applyNumberFormat="1" applyFont="1" applyAlignment="1">
      <alignment vertical="center"/>
    </xf>
    <xf numFmtId="49" fontId="214" fillId="0" borderId="0" xfId="0" applyNumberFormat="1" applyFont="1" applyAlignment="1">
      <alignment vertical="center"/>
    </xf>
    <xf numFmtId="49" fontId="211" fillId="0" borderId="0" xfId="0" applyNumberFormat="1" applyFont="1" applyAlignment="1">
      <alignment vertical="center"/>
    </xf>
    <xf numFmtId="49" fontId="207" fillId="0" borderId="0" xfId="0" applyNumberFormat="1" applyFont="1" applyAlignment="1">
      <alignment vertical="center"/>
    </xf>
    <xf numFmtId="49" fontId="204" fillId="0" borderId="0" xfId="0" applyNumberFormat="1" applyFont="1" applyAlignment="1">
      <alignment vertical="center"/>
    </xf>
    <xf numFmtId="49" fontId="202" fillId="0" borderId="0" xfId="0" applyNumberFormat="1" applyFont="1" applyAlignment="1">
      <alignment vertical="center"/>
    </xf>
    <xf numFmtId="49" fontId="201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93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31" fillId="0" borderId="0" xfId="0" quotePrefix="1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0" fillId="0" borderId="0" xfId="0" quotePrefix="1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169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169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169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169" fontId="23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233" fillId="0" borderId="0" xfId="0" applyFont="1" applyFill="1" applyAlignment="1">
      <alignment vertical="center"/>
    </xf>
    <xf numFmtId="14" fontId="233" fillId="0" borderId="0" xfId="0" applyNumberFormat="1" applyFont="1" applyAlignment="1">
      <alignment vertical="center"/>
    </xf>
    <xf numFmtId="4" fontId="233" fillId="0" borderId="0" xfId="0" applyNumberFormat="1" applyFont="1" applyFill="1" applyAlignment="1">
      <alignment vertical="center"/>
    </xf>
    <xf numFmtId="4" fontId="233" fillId="0" borderId="0" xfId="0" applyNumberFormat="1" applyFont="1" applyAlignment="1">
      <alignment vertical="center"/>
    </xf>
    <xf numFmtId="49" fontId="233" fillId="0" borderId="0" xfId="0" applyNumberFormat="1" applyFont="1" applyAlignment="1">
      <alignment vertical="center"/>
    </xf>
    <xf numFmtId="3" fontId="233" fillId="0" borderId="0" xfId="0" applyNumberFormat="1" applyFont="1" applyAlignment="1">
      <alignment vertical="center"/>
    </xf>
    <xf numFmtId="169" fontId="233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0" fontId="10" fillId="0" borderId="0" xfId="0" pivotButton="1" applyFont="1"/>
    <xf numFmtId="0" fontId="10" fillId="0" borderId="0" xfId="0" applyFont="1"/>
    <xf numFmtId="4" fontId="10" fillId="0" borderId="0" xfId="0" applyNumberFormat="1" applyFont="1"/>
    <xf numFmtId="0" fontId="10" fillId="0" borderId="0" xfId="0" pivotButton="1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165" fontId="10" fillId="0" borderId="0" xfId="0" applyNumberFormat="1" applyFont="1" applyAlignment="1">
      <alignment vertical="center"/>
    </xf>
    <xf numFmtId="0" fontId="10" fillId="0" borderId="0" xfId="0" applyFont="1" applyFill="1" applyAlignment="1">
      <alignment horizontal="left" vertical="center"/>
    </xf>
    <xf numFmtId="4" fontId="10" fillId="0" borderId="0" xfId="0" applyNumberFormat="1" applyFont="1" applyFill="1" applyAlignment="1">
      <alignment horizontal="left" vertical="center"/>
    </xf>
    <xf numFmtId="165" fontId="10" fillId="0" borderId="0" xfId="0" applyNumberFormat="1" applyFont="1" applyFill="1" applyAlignment="1">
      <alignment vertical="center"/>
    </xf>
    <xf numFmtId="3" fontId="10" fillId="0" borderId="0" xfId="0" applyNumberFormat="1" applyFont="1"/>
    <xf numFmtId="4" fontId="10" fillId="0" borderId="0" xfId="0" applyNumberFormat="1" applyFont="1" applyAlignment="1">
      <alignment horizontal="left" vertical="center" indent="1"/>
    </xf>
    <xf numFmtId="4" fontId="10" fillId="0" borderId="0" xfId="0" applyNumberFormat="1" applyFont="1" applyAlignment="1">
      <alignment horizontal="left"/>
    </xf>
    <xf numFmtId="16" fontId="10" fillId="0" borderId="0" xfId="0" applyNumberFormat="1" applyFont="1"/>
    <xf numFmtId="49" fontId="9" fillId="0" borderId="0" xfId="0" applyNumberFormat="1" applyFont="1" applyAlignment="1">
      <alignment vertical="center"/>
    </xf>
    <xf numFmtId="4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8" fontId="234" fillId="15" borderId="1" xfId="0" applyNumberFormat="1" applyFont="1" applyFill="1" applyBorder="1" applyAlignment="1">
      <alignment horizontal="right" vertical="center" wrapText="1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0" fontId="2" fillId="0" borderId="0" xfId="0" applyFont="1" applyAlignment="1">
      <alignment horizontal="left" indent="1"/>
    </xf>
    <xf numFmtId="14" fontId="2" fillId="0" borderId="0" xfId="0" applyNumberFormat="1" applyFont="1" applyAlignment="1">
      <alignment horizontal="left"/>
    </xf>
    <xf numFmtId="165" fontId="2" fillId="0" borderId="0" xfId="0" applyNumberFormat="1" applyFont="1"/>
    <xf numFmtId="0" fontId="220" fillId="0" borderId="4" xfId="4" applyFont="1" applyBorder="1" applyAlignment="1">
      <alignment horizontal="center" vertical="center"/>
    </xf>
    <xf numFmtId="0" fontId="220" fillId="0" borderId="6" xfId="4" applyFont="1" applyBorder="1" applyAlignment="1">
      <alignment horizontal="center" vertical="center"/>
    </xf>
    <xf numFmtId="0" fontId="230" fillId="14" borderId="4" xfId="4" applyFont="1" applyFill="1" applyBorder="1" applyAlignment="1">
      <alignment horizontal="center" vertical="center"/>
    </xf>
    <xf numFmtId="0" fontId="230" fillId="14" borderId="6" xfId="4" applyFont="1" applyFill="1" applyBorder="1" applyAlignment="1">
      <alignment horizontal="center" vertical="center"/>
    </xf>
    <xf numFmtId="0" fontId="220" fillId="0" borderId="2" xfId="0" applyFont="1" applyBorder="1" applyAlignment="1">
      <alignment horizontal="center" vertical="center"/>
    </xf>
    <xf numFmtId="0" fontId="220" fillId="0" borderId="0" xfId="0" applyFont="1" applyBorder="1" applyAlignment="1">
      <alignment horizontal="center" vertical="center"/>
    </xf>
    <xf numFmtId="0" fontId="220" fillId="0" borderId="3" xfId="0" applyFont="1" applyBorder="1" applyAlignment="1">
      <alignment horizontal="center" vertical="center"/>
    </xf>
    <xf numFmtId="0" fontId="198" fillId="0" borderId="13" xfId="0" applyFont="1" applyBorder="1" applyAlignment="1">
      <alignment horizontal="center" vertical="center"/>
    </xf>
    <xf numFmtId="0" fontId="218" fillId="0" borderId="0" xfId="0" applyFont="1" applyBorder="1" applyAlignment="1">
      <alignment horizontal="center" vertical="center"/>
    </xf>
    <xf numFmtId="0" fontId="218" fillId="0" borderId="14" xfId="0" applyFont="1" applyBorder="1" applyAlignment="1">
      <alignment horizontal="center" vertical="center"/>
    </xf>
    <xf numFmtId="0" fontId="198" fillId="0" borderId="0" xfId="0" applyFont="1" applyBorder="1" applyAlignment="1">
      <alignment horizontal="center" vertical="center"/>
    </xf>
    <xf numFmtId="0" fontId="198" fillId="0" borderId="14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1x0 | 0x1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Freebetunder</c:v>
                  </c:pt>
                  <c:pt idx="23">
                    <c:v>HT/FT Neutro</c:v>
                  </c:pt>
                  <c:pt idx="24">
                    <c:v>Lay 1x0 2T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0.71</c:v>
                </c:pt>
                <c:pt idx="23">
                  <c:v>28.3</c:v>
                </c:pt>
                <c:pt idx="24">
                  <c:v>-19.214749999999995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Back to Bahia</c:v>
                </c:pt>
                <c:pt idx="26">
                  <c:v>Over HT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Lay 1x0 2T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7.35129027778" createdVersion="6" refreshedVersion="6" minRefreshableVersion="3" recordCount="399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9-01T21:22:17" count="3637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  <d v="2026-08-28T09:23:20"/>
        <d v="2026-08-28T10:34:17"/>
        <d v="2026-08-28T10:35:37"/>
        <d v="2026-08-28T10:56:49"/>
        <d v="2026-08-28T14:14:12"/>
        <d v="2026-08-28T14:47:14"/>
        <d v="2026-08-28T15:24:43"/>
        <d v="2026-08-28T16:52:19"/>
        <d v="2026-08-28T16:53:25"/>
        <d v="2026-08-28T17:01:28"/>
        <d v="2026-08-28T17:15:08"/>
        <d v="2026-08-28T17:25:33"/>
        <d v="2026-08-28T17:49:03"/>
        <d v="2026-08-28T18:09:02"/>
        <d v="2026-08-28T18:21:58"/>
        <d v="2026-08-28T22:10:29"/>
        <d v="2026-08-29T07:58:27"/>
        <d v="2026-08-29T08:29:25"/>
        <d v="2026-08-29T09:32:58"/>
        <d v="2026-08-29T09:53:05"/>
        <d v="2026-08-29T10:20:08"/>
        <d v="2026-08-29T10:28:39"/>
        <d v="2026-08-29T11:50:40"/>
        <d v="2026-08-29T12:07:47"/>
        <d v="2026-08-29T12:50:27"/>
        <d v="2026-08-29T13:03:45"/>
        <d v="2026-08-29T13:05:09"/>
        <d v="2026-08-29T13:18:17"/>
        <d v="2026-08-29T14:24:36"/>
        <d v="2026-08-29T15:20:55"/>
        <d v="2026-08-29T15:23:11"/>
        <d v="2026-08-29T15:56:59"/>
        <d v="2026-08-29T16:01:33"/>
        <d v="2026-08-29T16:48:42"/>
        <d v="2026-08-29T16:54:18"/>
        <d v="2026-08-29T17:30:15"/>
        <d v="2026-08-29T17:37:30"/>
        <d v="2026-08-29T20:23:29"/>
        <d v="2026-08-29T22:34:04"/>
        <d v="2026-08-29T22:37:34"/>
        <d v="2026-08-29T23:28:40"/>
        <d v="2026-08-29T23:28:43"/>
        <d v="2026-08-29T23:39:55"/>
        <d v="2026-08-29T23:40:10"/>
        <d v="2026-08-30T01:37:42"/>
        <d v="2026-08-30T09:52:32"/>
        <d v="2026-08-30T10:23:24"/>
        <d v="2026-08-30T10:37:13"/>
        <d v="2026-08-30T10:49:51"/>
        <d v="2026-08-30T10:53:21"/>
        <d v="2026-08-30T11:23:34"/>
        <d v="2026-08-30T11:25:10"/>
        <d v="2026-08-30T11:25:18"/>
        <d v="2026-08-30T11:39:08"/>
        <d v="2026-08-30T12:38:16"/>
        <d v="2026-08-30T12:51:30"/>
        <d v="2026-08-30T13:22:54"/>
        <d v="2026-08-30T13:38:27"/>
        <d v="2026-08-30T13:51:20"/>
        <d v="2026-08-30T13:57:09"/>
        <d v="2026-08-30T13:57:15"/>
        <d v="2026-08-30T13:57:23"/>
        <d v="2026-08-30T13:57:25"/>
        <d v="2026-08-30T13:57:26"/>
        <d v="2026-08-30T15:52:26"/>
        <d v="2026-08-30T17:56:14"/>
        <d v="2026-08-30T18:19:58"/>
        <d v="2026-08-30T18:24:45"/>
        <d v="2026-08-30T20:23:15"/>
        <d v="2026-08-30T20:31:58"/>
        <d v="2026-08-30T23:00:57"/>
        <d v="2026-08-31T12:36:49"/>
        <d v="2026-08-31T13:27:44"/>
        <d v="2026-08-31T15:51:38"/>
        <d v="2026-08-31T15:51:48"/>
        <d v="2026-08-31T18:09:59"/>
        <d v="2026-08-31T18:30:22"/>
        <d v="2026-08-31T21:11:56"/>
        <d v="2026-08-31T21:29:44"/>
        <d v="2026-09-01T16:22:00"/>
        <d v="2026-09-01T17:02:51"/>
        <d v="2026-09-01T17:15:16"/>
        <d v="2026-09-01T17:40:26"/>
        <d v="2026-09-01T21:22:05"/>
        <d v="2026-09-01T21:22:17"/>
      </sharedItems>
    </cacheField>
    <cacheField name="L/P Líquido" numFmtId="4">
      <sharedItems containsSemiMixedTypes="0" containsString="0" containsNumber="1" minValue="-57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7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7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Visitante LTD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1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5.3500149985001499"/>
        <n v="15.137218558107801"/>
        <n v="13.120097240670662"/>
        <n v="9.8186322472224816"/>
        <n v="14.576889794819531"/>
        <n v="11.954408161224185"/>
        <n v="13.228102798000178"/>
        <n v="75"/>
        <n v="100" u="1"/>
        <n v="155" u="1"/>
        <n v="704" u="1"/>
        <n v="31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9-02T00:00:00" count="258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5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  <s v="Montpellier HSC"/>
        <s v="Rodez"/>
        <s v="Gamba Osaka"/>
        <s v="Shimizu S-Pulse"/>
        <s v="Alverca"/>
        <s v="Sabadell"/>
        <s v="Académico de Viseu"/>
        <s v="Aarhus Fremad"/>
        <s v="FK Teplice"/>
        <s v="Argentinos Juniors"/>
        <s v="Asyut Petroleum"/>
        <s v="Unión La Calera"/>
        <s v="Durban City FC"/>
        <s v="Portsmouth"/>
      </sharedItems>
    </cacheField>
    <cacheField name="Visitante" numFmtId="3">
      <sharedItems count="1245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US Boulogne"/>
        <s v="Birmingham City"/>
        <s v="Inter Toronto FC"/>
        <s v="Sanfrecce Hiroshima"/>
        <s v="Kashiwa Reysol"/>
        <s v="Sepsi OSK Sfantu Gheorghe"/>
        <s v="Þór Akureyri"/>
        <s v="Vizela"/>
        <s v="Racing Club"/>
        <s v="National Bank"/>
        <s v="Stellenbosch F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9-01T21:22:1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7.35129143518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7.35129178240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7.35129201388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72.448610416664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72.448611805557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72.44861296296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72.448614004628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1x0 | 0x1"/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72.448615740737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72.44861666666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72.448617708331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72.44860243055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89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72.448604861114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9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5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1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2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3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4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5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6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7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8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399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0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1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2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3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4"/>
    <x v="130"/>
    <x v="299"/>
    <s v="FC Barcelona vs Athletic Bilbao"/>
    <d v="2026-08-27T18:02:31"/>
  </r>
  <r>
    <s v="Shanghai Shenhua vs Shandong Taishan / Total 2.5"/>
    <s v="Fulltbet"/>
    <x v="3552"/>
    <n v="0.44"/>
    <n v="4.4999999999999998E-2"/>
    <n v="0.46073298429319376"/>
    <x v="12"/>
    <x v="70"/>
    <x v="206"/>
    <n v="2"/>
    <x v="253"/>
    <n v="2.0732984293193757E-2"/>
    <n v="0.22"/>
    <n v="1"/>
    <x v="0"/>
    <x v="739"/>
    <x v="853"/>
    <s v="Shanghai Shenhua vs Shandong Taishan"/>
    <d v="2026-08-28T09:23:20"/>
  </r>
  <r>
    <s v="Dalian Yingbo vs Beijing Guoan / Correct Score"/>
    <s v="Fulltbet"/>
    <x v="3553"/>
    <n v="25.07"/>
    <n v="4.4999999999999998E-2"/>
    <n v="26.251308900523561"/>
    <x v="1"/>
    <x v="6"/>
    <x v="10"/>
    <n v="420"/>
    <x v="253"/>
    <n v="1.1813089005235611"/>
    <n v="5.969047619047619E-2"/>
    <n v="1"/>
    <x v="33"/>
    <x v="764"/>
    <x v="1086"/>
    <s v="Dalian Yingbo vs Beijing Guoan"/>
    <d v="2026-08-28T10:34:17"/>
  </r>
  <r>
    <s v="Shanghai Shenhua vs Shandong Taishan / Correct Score"/>
    <s v="Fulltbet"/>
    <x v="3554"/>
    <n v="9.73"/>
    <n v="4.4999999999999998E-2"/>
    <n v="10.188481675392671"/>
    <x v="17"/>
    <x v="5"/>
    <x v="311"/>
    <n v="438.17"/>
    <x v="253"/>
    <n v="0.4584816753926706"/>
    <n v="2.2205993107697927E-2"/>
    <n v="1"/>
    <x v="0"/>
    <x v="739"/>
    <x v="853"/>
    <s v="Shanghai Shenhua vs Shandong Taishan"/>
    <d v="2026-08-28T10:35:37"/>
  </r>
  <r>
    <s v="Shenzhen Peng City vs Shanghai Port / Correct Score"/>
    <s v="Fulltbet"/>
    <x v="3555"/>
    <n v="-419.98"/>
    <n v="4.4999999999999998E-2"/>
    <n v="-419.98"/>
    <x v="1"/>
    <x v="2"/>
    <x v="12"/>
    <n v="419.98"/>
    <x v="253"/>
    <n v="0"/>
    <n v="-1"/>
    <n v="0"/>
    <x v="33"/>
    <x v="917"/>
    <x v="693"/>
    <s v="Shenzhen Peng City vs Shanghai Port"/>
    <d v="2026-08-28T10:56:49"/>
  </r>
  <r>
    <s v="Eintracht Braunschweig vs Hertha BSC / Both Teams To Score"/>
    <s v="Fulltbet"/>
    <x v="3556"/>
    <n v="70.739999999999995"/>
    <n v="4.4999999999999998E-2"/>
    <n v="74.073298429319365"/>
    <x v="6"/>
    <x v="14"/>
    <x v="52"/>
    <n v="120"/>
    <x v="253"/>
    <n v="3.3332984293193704"/>
    <n v="0.58949999999999991"/>
    <n v="1"/>
    <x v="0"/>
    <x v="417"/>
    <x v="513"/>
    <s v="Eintracht Braunschweig vs Hertha BSC"/>
    <d v="2026-08-28T14:14:12"/>
  </r>
  <r>
    <s v="Al-Riyadh vs Neom SC / Correct Score"/>
    <s v="Fulltbet"/>
    <x v="3557"/>
    <n v="-64.75"/>
    <n v="4.4999999999999998E-2"/>
    <n v="-64.75"/>
    <x v="12"/>
    <x v="60"/>
    <x v="19"/>
    <n v="64.75"/>
    <x v="253"/>
    <n v="0"/>
    <n v="-1"/>
    <n v="0"/>
    <x v="0"/>
    <x v="358"/>
    <x v="297"/>
    <s v="Al-Riyadh vs Neom SC"/>
    <d v="2026-08-28T14:47:14"/>
  </r>
  <r>
    <s v="VfL Bochum vs VfL Osnabrück / Correct Score"/>
    <s v="Fulltbet"/>
    <x v="3558"/>
    <n v="-400.03"/>
    <n v="4.4999999999999998E-2"/>
    <n v="-400.03"/>
    <x v="21"/>
    <x v="5"/>
    <x v="404"/>
    <n v="400.04"/>
    <x v="253"/>
    <n v="0"/>
    <n v="-0.99997500249974991"/>
    <n v="0"/>
    <x v="0"/>
    <x v="272"/>
    <x v="532"/>
    <s v="VfL Bochum vs VfL Osnabrück"/>
    <d v="2026-08-28T15:24:43"/>
  </r>
  <r>
    <s v="Montpellier HSC vs US Boulogne / Correct Score"/>
    <s v="Fulltbet"/>
    <x v="3559"/>
    <n v="29.75"/>
    <n v="4.4999999999999998E-2"/>
    <n v="31.151832460732987"/>
    <x v="21"/>
    <x v="5"/>
    <x v="405"/>
    <n v="439.7"/>
    <x v="253"/>
    <n v="1.4018324607329866"/>
    <n v="6.7659768023652492E-2"/>
    <n v="1"/>
    <x v="0"/>
    <x v="1044"/>
    <x v="1104"/>
    <s v="Montpellier HSC vs US Boulogne"/>
    <d v="2026-08-28T16:52:19"/>
  </r>
  <r>
    <s v="Rodez vs Pau FC / Correct Score"/>
    <s v="Fulltbet"/>
    <x v="3560"/>
    <n v="5.79"/>
    <n v="4.4999999999999998E-2"/>
    <n v="6.0628272251308903"/>
    <x v="21"/>
    <x v="5"/>
    <x v="27"/>
    <n v="99.99"/>
    <x v="253"/>
    <n v="0.27282722513089031"/>
    <n v="5.7905790579057911E-2"/>
    <n v="1"/>
    <x v="0"/>
    <x v="1045"/>
    <x v="271"/>
    <s v="Rodez vs Pau FC"/>
    <d v="2026-08-28T16:53:25"/>
  </r>
  <r>
    <s v="Al-Nassr Riyadh vs Al-Taawoun Buraidah / Match Odds"/>
    <s v="Fulltbet"/>
    <x v="3561"/>
    <n v="31.29"/>
    <n v="4.4999999999999998E-2"/>
    <n v="32.764397905759161"/>
    <x v="3"/>
    <x v="7"/>
    <x v="29"/>
    <n v="475.02"/>
    <x v="253"/>
    <n v="1.4743979057591616"/>
    <n v="6.5870910698496904E-2"/>
    <n v="1"/>
    <x v="14"/>
    <x v="230"/>
    <x v="268"/>
    <s v="Al-Nassr Riyadh vs Al-Taawoun Buraidah"/>
    <d v="2026-08-28T17:01:28"/>
  </r>
  <r>
    <s v="Wrexham vs Birmingham City / Both Teams To Score"/>
    <s v="Fulltbet"/>
    <x v="3562"/>
    <n v="108.87"/>
    <n v="4.4999999999999998E-2"/>
    <n v="114.00000000000001"/>
    <x v="6"/>
    <x v="14"/>
    <x v="120"/>
    <n v="120"/>
    <x v="253"/>
    <n v="5.1300000000000097"/>
    <n v="0.90725"/>
    <n v="1"/>
    <x v="0"/>
    <x v="263"/>
    <x v="1105"/>
    <s v="Wrexham vs Birmingham City"/>
    <d v="2026-08-28T17:15:08"/>
  </r>
  <r>
    <s v="FC Bayern München vs VfB Stuttgart / Match Odds"/>
    <s v="Fulltbet"/>
    <x v="3563"/>
    <n v="43.2"/>
    <n v="4.4999999999999998E-2"/>
    <n v="45.235602094240839"/>
    <x v="3"/>
    <x v="7"/>
    <x v="23"/>
    <n v="475.02"/>
    <x v="253"/>
    <n v="2.0356020942408364"/>
    <n v="9.0943539219401293E-2"/>
    <n v="1"/>
    <x v="3"/>
    <x v="107"/>
    <x v="251"/>
    <s v="FC Bayern München vs VfB Stuttgart"/>
    <d v="2026-08-28T17:25:33"/>
  </r>
  <r>
    <s v="Lille OSC vs Paris Saint-Germain / Both Teams To Score"/>
    <s v="Fulltbet"/>
    <x v="3564"/>
    <n v="91.52"/>
    <n v="4.4999999999999998E-2"/>
    <n v="95.832460732984288"/>
    <x v="6"/>
    <x v="14"/>
    <x v="60"/>
    <n v="119.75"/>
    <x v="253"/>
    <n v="4.3124607329842917"/>
    <n v="0.76425887265135695"/>
    <n v="1"/>
    <x v="0"/>
    <x v="68"/>
    <x v="120"/>
    <s v="Lille OSC vs Paris Saint-Germain"/>
    <d v="2026-08-28T17:49:03"/>
  </r>
  <r>
    <s v="Rio Ave vs Sporting CP / Match Odds"/>
    <s v="Fulltbet"/>
    <x v="3565"/>
    <n v="47.75"/>
    <n v="4.4999999999999998E-2"/>
    <n v="50"/>
    <x v="3"/>
    <x v="18"/>
    <x v="14"/>
    <n v="475"/>
    <x v="253"/>
    <n v="2.25"/>
    <n v="0.10052631578947369"/>
    <n v="1"/>
    <x v="10"/>
    <x v="271"/>
    <x v="112"/>
    <s v="Rio Ave vs Sporting CP"/>
    <d v="2026-08-28T18:09:02"/>
  </r>
  <r>
    <s v="Deportivo Alaves vs Villarreal / Both Teams To Score"/>
    <s v="Fulltbet"/>
    <x v="3566"/>
    <n v="-120"/>
    <n v="4.4999999999999998E-2"/>
    <n v="-120"/>
    <x v="6"/>
    <x v="14"/>
    <x v="119"/>
    <n v="120"/>
    <x v="253"/>
    <n v="0"/>
    <n v="-1"/>
    <n v="0"/>
    <x v="0"/>
    <x v="685"/>
    <x v="288"/>
    <s v="Deportivo Alaves vs Villarreal"/>
    <d v="2026-08-28T18:21:58"/>
  </r>
  <r>
    <s v="Atletico Ottawa vs Inter Toronto FC / Total 2.5"/>
    <s v="Fulltbet"/>
    <x v="3567"/>
    <n v="0.76"/>
    <n v="4.4999999999999998E-2"/>
    <n v="0.79581151832460739"/>
    <x v="12"/>
    <x v="70"/>
    <x v="50"/>
    <n v="2"/>
    <x v="253"/>
    <n v="3.5811518324607383E-2"/>
    <n v="0.38"/>
    <n v="1"/>
    <x v="0"/>
    <x v="781"/>
    <x v="1106"/>
    <s v="Atletico Ottawa vs Inter Toronto FC"/>
    <d v="2026-08-28T22:10:29"/>
  </r>
  <r>
    <s v="Gamba Osaka vs Sanfrecce Hiroshima / Correct Score"/>
    <s v="Fulltbet"/>
    <x v="3568"/>
    <n v="6.37"/>
    <n v="4.4999999999999998E-2"/>
    <n v="6.6701570680628279"/>
    <x v="12"/>
    <x v="60"/>
    <x v="23"/>
    <n v="70.040000000000006"/>
    <x v="254"/>
    <n v="0.30015706806282783"/>
    <n v="9.0948029697315816E-2"/>
    <n v="1"/>
    <x v="0"/>
    <x v="1046"/>
    <x v="1107"/>
    <s v="Gamba Osaka vs Sanfrecce Hiroshima"/>
    <d v="2026-08-29T07:58:27"/>
  </r>
  <r>
    <s v="Shimizu S-Pulse vs Kashiwa Reysol / Correct Score"/>
    <s v="Fulltbet"/>
    <x v="3569"/>
    <n v="7.77"/>
    <n v="4.4999999999999998E-2"/>
    <n v="8.1361256544502609"/>
    <x v="12"/>
    <x v="60"/>
    <x v="89"/>
    <n v="71.63"/>
    <x v="254"/>
    <n v="0.36612565445026135"/>
    <n v="0.10847410302945694"/>
    <n v="1"/>
    <x v="0"/>
    <x v="1047"/>
    <x v="1108"/>
    <s v="Shimizu S-Pulse vs Kashiwa Reysol"/>
    <d v="2026-08-29T08:29:25"/>
  </r>
  <r>
    <s v="1. FC Heidenheim vs Dynamo Dresden / Total 2.5"/>
    <s v="Fulltbet"/>
    <x v="3570"/>
    <n v="1.18"/>
    <n v="4.4999999999999998E-2"/>
    <n v="1.2356020942408377"/>
    <x v="12"/>
    <x v="70"/>
    <x v="52"/>
    <n v="2"/>
    <x v="254"/>
    <n v="5.5602094240837729E-2"/>
    <n v="0.59"/>
    <n v="1"/>
    <x v="0"/>
    <x v="194"/>
    <x v="329"/>
    <s v="1. FC Heidenheim vs Dynamo Dresden"/>
    <d v="2026-08-29T09:32:58"/>
  </r>
  <r>
    <s v="Middlesbrough vs West Bromwich Albion / Both Teams To Score"/>
    <s v="Fulltbet"/>
    <x v="3571"/>
    <n v="93.97"/>
    <n v="4.4999999999999998E-2"/>
    <n v="98.397905759162313"/>
    <x v="6"/>
    <x v="14"/>
    <x v="67"/>
    <n v="120"/>
    <x v="254"/>
    <n v="4.4279057591623143"/>
    <n v="0.78308333333333335"/>
    <n v="1"/>
    <x v="0"/>
    <x v="214"/>
    <x v="445"/>
    <s v="Middlesbrough vs West Bromwich Albion"/>
    <d v="2026-08-29T09:53:05"/>
  </r>
  <r>
    <s v="Derby County vs Swansea City / Total 2.5"/>
    <s v="Fulltbet"/>
    <x v="3572"/>
    <n v="1.71"/>
    <n v="4.4999999999999998E-2"/>
    <n v="1.7905759162303665"/>
    <x v="12"/>
    <x v="70"/>
    <x v="100"/>
    <n v="2"/>
    <x v="254"/>
    <n v="8.0575916230366529E-2"/>
    <n v="0.85499999999999998"/>
    <n v="1"/>
    <x v="0"/>
    <x v="209"/>
    <x v="211"/>
    <s v="Derby County vs Swansea City"/>
    <d v="2026-08-29T10:20:08"/>
  </r>
  <r>
    <s v="Chengdu Rongcheng vs Liaoning Tieren F.C. / Match Odds"/>
    <s v="Fulltbet"/>
    <x v="3573"/>
    <n v="31.73"/>
    <n v="4.4999999999999998E-2"/>
    <n v="33.225130890052355"/>
    <x v="34"/>
    <x v="20"/>
    <x v="19"/>
    <n v="245.85"/>
    <x v="254"/>
    <n v="1.495130890052355"/>
    <n v="0.12906243644498677"/>
    <n v="1"/>
    <x v="0"/>
    <x v="529"/>
    <x v="1002"/>
    <s v="Chengdu Rongcheng vs Liaoning Tieren F.C."/>
    <d v="2026-08-29T10:28:39"/>
  </r>
  <r>
    <s v="BK Häcken vs Västerås SK FK / Correct Score"/>
    <s v="Fulltbet"/>
    <x v="3574"/>
    <n v="13.169449999999999"/>
    <n v="4.4999999999999998E-2"/>
    <n v="13.79"/>
    <x v="1"/>
    <x v="5"/>
    <x v="155"/>
    <n v="399.91"/>
    <x v="254"/>
    <n v="0.62054999999999971"/>
    <n v="3.2931034482758616E-2"/>
    <n v="1"/>
    <x v="38"/>
    <x v="551"/>
    <x v="551"/>
    <s v="BK Häcken vs Västerås SK FK"/>
    <d v="2026-08-29T11:50:40"/>
  </r>
  <r>
    <s v="BK Häcken vs Västerås SK FK / Correct Score"/>
    <s v="Fulltbet"/>
    <x v="3574"/>
    <n v="23.875"/>
    <n v="4.4999999999999998E-2"/>
    <n v="25"/>
    <x v="21"/>
    <x v="5"/>
    <x v="10"/>
    <n v="400"/>
    <x v="254"/>
    <n v="1.125"/>
    <n v="5.9687499999999998E-2"/>
    <n v="1"/>
    <x v="0"/>
    <x v="551"/>
    <x v="551"/>
    <s v="BK Häcken vs Västerås SK FK"/>
    <d v="2026-08-29T11:50:40"/>
  </r>
  <r>
    <s v="SV Elversberg vs Bayer 04 Leverkusen / Both Teams To Score"/>
    <s v="Fulltbet"/>
    <x v="3575"/>
    <n v="68.760000000000005"/>
    <n v="4.4999999999999998E-2"/>
    <n v="72.000000000000014"/>
    <x v="6"/>
    <x v="14"/>
    <x v="97"/>
    <n v="120"/>
    <x v="254"/>
    <n v="3.2400000000000091"/>
    <n v="0.57300000000000006"/>
    <n v="1"/>
    <x v="0"/>
    <x v="136"/>
    <x v="197"/>
    <s v="SV Elversberg vs Bayer 04 Leverkusen"/>
    <d v="2026-08-29T12:07:47"/>
  </r>
  <r>
    <s v="Celtic vs Falkirk / Correct Score"/>
    <s v="Fulltbet"/>
    <x v="3576"/>
    <n v="45.55"/>
    <n v="4.4999999999999998E-2"/>
    <n v="47.696335078534034"/>
    <x v="2"/>
    <x v="3"/>
    <x v="31"/>
    <n v="477"/>
    <x v="254"/>
    <n v="2.1463350785340367"/>
    <n v="9.5492662473794537E-2"/>
    <n v="1"/>
    <x v="0"/>
    <x v="83"/>
    <x v="12"/>
    <s v="Celtic vs Falkirk"/>
    <d v="2026-08-29T12:50:27"/>
  </r>
  <r>
    <s v="Alverca vs Santa Clara / Total 0.5"/>
    <s v="Fulltbet"/>
    <x v="3577"/>
    <n v="9.65"/>
    <n v="4.4999999999999998E-2"/>
    <n v="10.104712041884818"/>
    <x v="12"/>
    <x v="47"/>
    <x v="48"/>
    <n v="20"/>
    <x v="254"/>
    <n v="0.45471204188481806"/>
    <n v="0.48250000000000004"/>
    <n v="1"/>
    <x v="0"/>
    <x v="1048"/>
    <x v="537"/>
    <s v="Alverca vs Santa Clara"/>
    <d v="2026-08-29T13:03:45"/>
  </r>
  <r>
    <s v="Celtic vs Falkirk / Match Odds"/>
    <s v="Fulltbet"/>
    <x v="3578"/>
    <n v="28.3"/>
    <n v="4.4999999999999998E-2"/>
    <n v="29.633507853403142"/>
    <x v="3"/>
    <x v="7"/>
    <x v="17"/>
    <n v="400.01"/>
    <x v="254"/>
    <n v="1.333507853403141"/>
    <n v="7.0748231294217645E-2"/>
    <n v="1"/>
    <x v="23"/>
    <x v="83"/>
    <x v="12"/>
    <s v="Celtic vs Falkirk"/>
    <d v="2026-08-29T13:05:09"/>
  </r>
  <r>
    <s v="Sabadell vs UD Almería / Total 0.5"/>
    <s v="Fulltbet"/>
    <x v="3579"/>
    <n v="9.5500000000000007"/>
    <n v="4.4999999999999998E-2"/>
    <n v="10.000000000000002"/>
    <x v="12"/>
    <x v="47"/>
    <x v="222"/>
    <n v="20"/>
    <x v="254"/>
    <n v="0.45000000000000107"/>
    <n v="0.47750000000000004"/>
    <n v="1"/>
    <x v="0"/>
    <x v="1049"/>
    <x v="203"/>
    <s v="Sabadell vs UD Almería"/>
    <d v="2026-08-29T13:18:17"/>
  </r>
  <r>
    <s v="FC Arges Pitesti vs Sepsi OSK Sfantu Gheorghe / Total 0.5"/>
    <s v="Fulltbet"/>
    <x v="3580"/>
    <n v="10.38"/>
    <n v="4.4999999999999998E-2"/>
    <n v="10.869109947643981"/>
    <x v="12"/>
    <x v="47"/>
    <x v="232"/>
    <n v="20"/>
    <x v="254"/>
    <n v="0.48910994764398019"/>
    <n v="0.51900000000000002"/>
    <n v="1"/>
    <x v="0"/>
    <x v="985"/>
    <x v="1109"/>
    <s v="FC Arges Pitesti vs Sepsi OSK Sfantu Gheorghe"/>
    <d v="2026-08-29T14:24:36"/>
  </r>
  <r>
    <s v="Tottenham Hotspur vs Newcastle United / Both Teams To Score"/>
    <s v="Fulltbet"/>
    <x v="3581"/>
    <n v="-120"/>
    <n v="4.4999999999999998E-2"/>
    <n v="-120"/>
    <x v="6"/>
    <x v="14"/>
    <x v="97"/>
    <n v="120"/>
    <x v="254"/>
    <n v="0"/>
    <n v="-1"/>
    <n v="0"/>
    <x v="0"/>
    <x v="111"/>
    <x v="290"/>
    <s v="Tottenham Hotspur vs Newcastle United"/>
    <d v="2026-08-29T15:20:55"/>
  </r>
  <r>
    <s v="Borussia Dortmund vs Hamburger SV / Correct Score"/>
    <s v="Fulltbet"/>
    <x v="3582"/>
    <n v="41.41"/>
    <n v="4.4999999999999998E-2"/>
    <n v="43.361256544502616"/>
    <x v="2"/>
    <x v="3"/>
    <x v="2"/>
    <n v="476.96"/>
    <x v="254"/>
    <n v="1.9512565445026198"/>
    <n v="8.6820697752432063E-2"/>
    <n v="1"/>
    <x v="0"/>
    <x v="84"/>
    <x v="131"/>
    <s v="Borussia Dortmund vs Hamburger SV"/>
    <d v="2026-08-29T15:23:11"/>
  </r>
  <r>
    <s v="ÍB Vestmannaeyja vs Þór Akureyri / Correct Score"/>
    <s v="Fulltbet"/>
    <x v="3583"/>
    <n v="-413.04"/>
    <n v="4.4999999999999998E-2"/>
    <n v="-413.04"/>
    <x v="1"/>
    <x v="5"/>
    <x v="110"/>
    <n v="413.04"/>
    <x v="254"/>
    <n v="0"/>
    <n v="-1"/>
    <n v="0"/>
    <x v="42"/>
    <x v="899"/>
    <x v="1110"/>
    <s v="ÍB Vestmannaeyja vs Þór Akureyri"/>
    <d v="2026-08-29T15:56:59"/>
  </r>
  <r>
    <s v="Académico de Viseu vs FC Porto / Match Odds"/>
    <s v="Fulltbet"/>
    <x v="3584"/>
    <n v="30.42"/>
    <n v="4.4999999999999998E-2"/>
    <n v="31.853403141361259"/>
    <x v="3"/>
    <x v="18"/>
    <x v="17"/>
    <n v="429.98"/>
    <x v="254"/>
    <n v="1.4334031413612571"/>
    <n v="7.074747662681985E-2"/>
    <n v="1"/>
    <x v="10"/>
    <x v="1050"/>
    <x v="294"/>
    <s v="Académico de Viseu vs FC Porto"/>
    <d v="2026-08-29T16:01:33"/>
  </r>
  <r>
    <s v="Galatasaray SK vs Göztepe / Total 2.5"/>
    <s v="Fulltbet"/>
    <x v="3585"/>
    <n v="0.49"/>
    <n v="4.4999999999999998E-2"/>
    <n v="0.51308900523560208"/>
    <x v="12"/>
    <x v="70"/>
    <x v="205"/>
    <n v="2"/>
    <x v="254"/>
    <n v="2.3089005235602089E-2"/>
    <n v="0.245"/>
    <n v="1"/>
    <x v="0"/>
    <x v="159"/>
    <x v="484"/>
    <s v="Galatasaray SK vs Göztepe"/>
    <d v="2026-08-29T16:48:42"/>
  </r>
  <r>
    <s v="Al-Fateh Al-Hasa vs Al-Ittihad Jeddah / Correct Score"/>
    <s v="Fulltbet"/>
    <x v="3586"/>
    <n v="6.37"/>
    <n v="4.4999999999999998E-2"/>
    <n v="6.6701570680628279"/>
    <x v="12"/>
    <x v="60"/>
    <x v="31"/>
    <n v="66.7"/>
    <x v="254"/>
    <n v="0.30015706806282783"/>
    <n v="9.5502248875562218E-2"/>
    <n v="1"/>
    <x v="0"/>
    <x v="248"/>
    <x v="304"/>
    <s v="Al-Fateh Al-Hasa vs Al-Ittihad Jeddah"/>
    <d v="2026-08-29T16:54:18"/>
  </r>
  <r>
    <s v="Galatasaray SK vs Göztepe / Match Odds"/>
    <s v="Fulltbet"/>
    <x v="3587"/>
    <n v="36.61"/>
    <n v="4.4999999999999998E-2"/>
    <n v="38.335078534031418"/>
    <x v="3"/>
    <x v="7"/>
    <x v="5"/>
    <n v="459.96"/>
    <x v="254"/>
    <n v="1.7250785340314181"/>
    <n v="7.959387772849813E-2"/>
    <n v="1"/>
    <x v="11"/>
    <x v="159"/>
    <x v="484"/>
    <s v="Galatasaray SK vs Göztepe"/>
    <d v="2026-08-29T17:30:15"/>
  </r>
  <r>
    <s v="SC União Torreense vs Vizela / Total 2.5"/>
    <s v="Fulltbet"/>
    <x v="3588"/>
    <n v="1.57"/>
    <n v="4.4999999999999998E-2"/>
    <n v="1.6439790575916231"/>
    <x v="12"/>
    <x v="70"/>
    <x v="67"/>
    <n v="2"/>
    <x v="254"/>
    <n v="7.3979057591623043E-2"/>
    <n v="0.78500000000000003"/>
    <n v="1"/>
    <x v="0"/>
    <x v="748"/>
    <x v="1111"/>
    <s v="SC União Torreense vs Vizela"/>
    <d v="2026-08-29T17:37:30"/>
  </r>
  <r>
    <s v="Atlético Mineiro vs EC Vitória / Correct Score"/>
    <s v="Fulltbet"/>
    <x v="3589"/>
    <n v="31.67"/>
    <n v="4.4999999999999998E-2"/>
    <n v="33.162303664921467"/>
    <x v="21"/>
    <x v="5"/>
    <x v="406"/>
    <n v="399.01"/>
    <x v="254"/>
    <n v="1.4923036649214652"/>
    <n v="7.9371444324703652E-2"/>
    <n v="1"/>
    <x v="0"/>
    <x v="86"/>
    <x v="518"/>
    <s v="Atlético Mineiro vs EC Vitória"/>
    <d v="2026-08-29T20:23:29"/>
  </r>
  <r>
    <s v="DC United vs Los Angeles FC / Correct Score"/>
    <s v="Fulltbet"/>
    <x v="3590"/>
    <n v="7.59"/>
    <n v="4.4999999999999998E-2"/>
    <n v="7.9476439790575917"/>
    <x v="12"/>
    <x v="60"/>
    <x v="89"/>
    <n v="69.959999999999994"/>
    <x v="254"/>
    <n v="0.35764397905759182"/>
    <n v="0.10849056603773585"/>
    <n v="1"/>
    <x v="0"/>
    <x v="686"/>
    <x v="623"/>
    <s v="DC United vs Los Angeles FC"/>
    <d v="2026-08-29T22:34:04"/>
  </r>
  <r>
    <s v="Inter Miami CF vs CF Montreal / Correct Score"/>
    <s v="Fulltbet"/>
    <x v="3591"/>
    <n v="7.24"/>
    <n v="4.4999999999999998E-2"/>
    <n v="7.5811518324607334"/>
    <x v="17"/>
    <x v="5"/>
    <x v="346"/>
    <n v="447.22"/>
    <x v="254"/>
    <n v="0.34115183246073322"/>
    <n v="1.6188900317517105E-2"/>
    <n v="1"/>
    <x v="0"/>
    <x v="725"/>
    <x v="820"/>
    <s v="Inter Miami CF vs CF Montreal"/>
    <d v="2026-08-29T22:37:34"/>
  </r>
  <r>
    <s v="Alianza Lima vs Deportivo Garcilaso / Match Odds"/>
    <s v="Fulltbet"/>
    <x v="3592"/>
    <n v="-277.29000000000002"/>
    <n v="4.4999999999999998E-2"/>
    <n v="-277.29000000000002"/>
    <x v="34"/>
    <x v="20"/>
    <x v="8"/>
    <n v="277.29000000000002"/>
    <x v="254"/>
    <n v="0"/>
    <n v="-1"/>
    <n v="0"/>
    <x v="0"/>
    <x v="635"/>
    <x v="846"/>
    <s v="Alianza Lima vs Deportivo Garcilaso"/>
    <d v="2026-08-29T23:28:40"/>
  </r>
  <r>
    <s v="Alianza Lima vs Deportivo Garcilaso / Total 2.5"/>
    <s v="Fulltbet"/>
    <x v="3593"/>
    <n v="-2"/>
    <n v="4.4999999999999998E-2"/>
    <n v="-2"/>
    <x v="12"/>
    <x v="70"/>
    <x v="52"/>
    <n v="2"/>
    <x v="254"/>
    <n v="0"/>
    <n v="-1"/>
    <n v="0"/>
    <x v="0"/>
    <x v="635"/>
    <x v="846"/>
    <s v="Alianza Lima vs Deportivo Garcilaso"/>
    <d v="2026-08-29T23:28:43"/>
  </r>
  <r>
    <s v="Houston Dynamo vs San Jose Earthquakes / Correct Score"/>
    <s v="Fulltbet"/>
    <x v="3594"/>
    <n v="46.4"/>
    <n v="4.4999999999999998E-2"/>
    <n v="48.586387434554972"/>
    <x v="21"/>
    <x v="5"/>
    <x v="407"/>
    <n v="428.44"/>
    <x v="254"/>
    <n v="2.1863874345549732"/>
    <n v="0.10829987862944636"/>
    <n v="1"/>
    <x v="0"/>
    <x v="513"/>
    <x v="557"/>
    <s v="Houston Dynamo vs San Jose Earthquakes"/>
    <d v="2026-08-29T23:39:55"/>
  </r>
  <r>
    <s v="Nashville Soccer Club vs FC Cincinnati / Correct Score"/>
    <s v="Fulltbet"/>
    <x v="3595"/>
    <n v="31.59"/>
    <n v="4.4999999999999998E-2"/>
    <n v="33.078534031413611"/>
    <x v="21"/>
    <x v="5"/>
    <x v="8"/>
    <n v="430.04"/>
    <x v="254"/>
    <n v="1.4885340314136108"/>
    <n v="7.3458282950423212E-2"/>
    <n v="1"/>
    <x v="0"/>
    <x v="638"/>
    <x v="676"/>
    <s v="Nashville Soccer Club vs FC Cincinnati"/>
    <d v="2026-08-29T23:40:10"/>
  </r>
  <r>
    <s v="San Diego FC vs Los Angeles Galaxy / Correct Score"/>
    <s v="Fulltbet"/>
    <x v="3596"/>
    <n v="16.05"/>
    <n v="4.4999999999999998E-2"/>
    <n v="16.806282722513089"/>
    <x v="17"/>
    <x v="5"/>
    <x v="35"/>
    <n v="453.87"/>
    <x v="255"/>
    <n v="0.75628272251308815"/>
    <n v="3.5362548747438695E-2"/>
    <n v="1"/>
    <x v="0"/>
    <x v="588"/>
    <x v="771"/>
    <s v="San Diego FC vs Los Angeles Galaxy"/>
    <d v="2026-08-30T01:37:42"/>
  </r>
  <r>
    <s v="Aberdeen vs Rangers / Correct Score"/>
    <s v="Fulltbet"/>
    <x v="359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43"/>
    <x v="125"/>
    <s v="Aberdeen vs Rangers"/>
    <d v="2026-08-30T09:52:32"/>
  </r>
  <r>
    <s v="KAA Gent vs Club Brugge / Correct Score"/>
    <s v="Fulltbet"/>
    <x v="3598"/>
    <n v="36.82"/>
    <n v="4.4999999999999998E-2"/>
    <n v="38.554973821989527"/>
    <x v="21"/>
    <x v="6"/>
    <x v="408"/>
    <n v="520.03"/>
    <x v="255"/>
    <n v="1.7349738219895272"/>
    <n v="7.0803607484183614E-2"/>
    <n v="1"/>
    <x v="0"/>
    <x v="539"/>
    <x v="267"/>
    <s v="KAA Gent vs Club Brugge"/>
    <d v="2026-08-30T10:23:24"/>
  </r>
  <r>
    <s v="FC Sion vs FC Lugano / Total 2.5"/>
    <s v="Fulltbet"/>
    <x v="3599"/>
    <n v="0.93"/>
    <n v="4.4999999999999998E-2"/>
    <n v="0.97382198952879595"/>
    <x v="12"/>
    <x v="70"/>
    <x v="51"/>
    <n v="2"/>
    <x v="255"/>
    <n v="4.3821989528795902E-2"/>
    <n v="0.46500000000000002"/>
    <n v="1"/>
    <x v="0"/>
    <x v="411"/>
    <x v="461"/>
    <s v="FC Sion vs FC Lugano"/>
    <d v="2026-08-30T10:37:13"/>
  </r>
  <r>
    <s v="Aarhus Fremad vs Vejle BK / Correct Score"/>
    <s v="Fulltbet"/>
    <x v="3600"/>
    <n v="8.36"/>
    <n v="4.4999999999999998E-2"/>
    <n v="8.7539267015706805"/>
    <x v="12"/>
    <x v="60"/>
    <x v="33"/>
    <n v="71.75"/>
    <x v="255"/>
    <n v="0.3939267015706811"/>
    <n v="0.11651567944250871"/>
    <n v="1"/>
    <x v="0"/>
    <x v="1051"/>
    <x v="452"/>
    <s v="Aarhus Fremad vs Vejle BK"/>
    <d v="2026-08-30T10:49:51"/>
  </r>
  <r>
    <s v="Feyenoord vs ADO Den Haag / Total 2.5"/>
    <s v="Fulltbet"/>
    <x v="3601"/>
    <n v="0.41"/>
    <n v="4.4999999999999998E-2"/>
    <n v="0.4293193717277487"/>
    <x v="12"/>
    <x v="70"/>
    <x v="229"/>
    <n v="2"/>
    <x v="255"/>
    <n v="1.9319371727748724E-2"/>
    <n v="0.20499999999999999"/>
    <n v="1"/>
    <x v="0"/>
    <x v="157"/>
    <x v="311"/>
    <s v="Feyenoord vs ADO Den Haag"/>
    <d v="2026-08-30T10:53:21"/>
  </r>
  <r>
    <s v="Bodø/Glimt vs Rosenborg BK / Correct Score"/>
    <s v="Fulltbet"/>
    <x v="3602"/>
    <n v="9.16"/>
    <n v="4.4999999999999998E-2"/>
    <n v="9.5916230366492155"/>
    <x v="17"/>
    <x v="5"/>
    <x v="306"/>
    <n v="469.91"/>
    <x v="255"/>
    <n v="0.43162303664921531"/>
    <n v="1.9493094422336193E-2"/>
    <n v="1"/>
    <x v="0"/>
    <x v="277"/>
    <x v="218"/>
    <s v="Bod"/>
    <d v="2026-08-30T11:23:34"/>
  </r>
  <r>
    <s v="Feyenoord vs ADO Den Haag / Match Odds"/>
    <s v="Fulltbet"/>
    <x v="3603"/>
    <n v="27.02"/>
    <n v="4.4999999999999998E-2"/>
    <n v="28.293193717277486"/>
    <x v="3"/>
    <x v="7"/>
    <x v="32"/>
    <n v="495.08"/>
    <x v="255"/>
    <n v="1.2731937172774863"/>
    <n v="5.4577038054455844E-2"/>
    <n v="1"/>
    <x v="5"/>
    <x v="157"/>
    <x v="311"/>
    <s v="Feyenoord vs ADO Den Haag"/>
    <d v="2026-08-30T11:25:10"/>
  </r>
  <r>
    <s v="Willem II vs Heerenveen / Correct Score"/>
    <s v="Fulltbet"/>
    <x v="3604"/>
    <n v="19.49155"/>
    <n v="4.4999999999999998E-2"/>
    <n v="20.41"/>
    <x v="21"/>
    <x v="6"/>
    <x v="409"/>
    <n v="199.97"/>
    <x v="255"/>
    <n v="0.91844999999999999"/>
    <n v="9.7472370855628349E-2"/>
    <n v="1"/>
    <x v="0"/>
    <x v="120"/>
    <x v="167"/>
    <s v="Willem II vs Heerenveen"/>
    <d v="2026-08-30T11:25:18"/>
  </r>
  <r>
    <s v="Willem II vs Heerenveen / Correct Score"/>
    <s v="Fulltbet"/>
    <x v="3604"/>
    <n v="8.3562499999999993"/>
    <n v="4.4999999999999998E-2"/>
    <n v="8.75"/>
    <x v="12"/>
    <x v="60"/>
    <x v="22"/>
    <n v="70"/>
    <x v="255"/>
    <n v="0.39375000000000071"/>
    <n v="0.119375"/>
    <n v="1"/>
    <x v="0"/>
    <x v="120"/>
    <x v="167"/>
    <s v="Willem II vs Heerenveen"/>
    <d v="2026-08-30T11:25:18"/>
  </r>
  <r>
    <s v="Athlético Paranaense vs Fluminense FC / Both Teams To Score"/>
    <s v="Fulltbet"/>
    <x v="3605"/>
    <n v="114.6"/>
    <n v="4.4999999999999998E-2"/>
    <n v="120"/>
    <x v="6"/>
    <x v="14"/>
    <x v="64"/>
    <n v="120"/>
    <x v="255"/>
    <n v="5.4000000000000057"/>
    <n v="0.95499999999999996"/>
    <n v="1"/>
    <x v="0"/>
    <x v="494"/>
    <x v="402"/>
    <s v="Athlético Paranaense vs Fluminense FC"/>
    <d v="2026-08-30T11:39:08"/>
  </r>
  <r>
    <s v="FC St. Gallen vs FC Thun / Total 2.5"/>
    <s v="Fulltbet"/>
    <x v="3606"/>
    <n v="0.6"/>
    <n v="4.4999999999999998E-2"/>
    <n v="0.62827225130890052"/>
    <x v="12"/>
    <x v="70"/>
    <x v="213"/>
    <n v="2"/>
    <x v="255"/>
    <n v="2.8272251308900542E-2"/>
    <n v="0.3"/>
    <n v="1"/>
    <x v="0"/>
    <x v="720"/>
    <x v="619"/>
    <s v="FC St. Gallen vs FC Thun"/>
    <d v="2026-08-30T12:38:16"/>
  </r>
  <r>
    <s v="Tallinna FC Flora vs Paide Linnameeskond / Correct Score"/>
    <s v="Fulltbet"/>
    <x v="360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019"/>
    <x v="792"/>
    <s v="Tallinna FC Flora vs Paide Linnameeskond"/>
    <d v="2026-08-30T12:51:30"/>
  </r>
  <r>
    <s v="IFK Göteborg vs Örgryte IS / Correct Score"/>
    <s v="Fulltbet"/>
    <x v="3608"/>
    <n v="45.31"/>
    <n v="4.4999999999999998E-2"/>
    <n v="47.445026178010473"/>
    <x v="21"/>
    <x v="5"/>
    <x v="410"/>
    <n v="570.04999999999995"/>
    <x v="255"/>
    <n v="2.1350261780104702"/>
    <n v="7.9484255767037992E-2"/>
    <n v="1"/>
    <x v="0"/>
    <x v="929"/>
    <x v="708"/>
    <s v="IFK Göteborg vs Örgryte IS"/>
    <d v="2026-08-30T13:22:54"/>
  </r>
  <r>
    <s v="FK Teplice vs FK Jablonec / Total 0.5"/>
    <s v="Fulltbet"/>
    <x v="3609"/>
    <n v="9.93"/>
    <n v="4.4999999999999998E-2"/>
    <n v="10.397905759162304"/>
    <x v="12"/>
    <x v="47"/>
    <x v="236"/>
    <n v="20"/>
    <x v="255"/>
    <n v="0.46790575916230459"/>
    <n v="0.4965"/>
    <n v="1"/>
    <x v="0"/>
    <x v="1052"/>
    <x v="729"/>
    <s v="FK Teplice vs FK Jablonec"/>
    <d v="2026-08-30T13:38:27"/>
  </r>
  <r>
    <s v="Sandefjord Fotball vs Brann / Correct Score"/>
    <s v="Fulltbet"/>
    <x v="3610"/>
    <n v="8.57"/>
    <n v="4.4999999999999998E-2"/>
    <n v="8.9738219895287958"/>
    <x v="12"/>
    <x v="60"/>
    <x v="19"/>
    <n v="66.38"/>
    <x v="255"/>
    <n v="0.40382198952879556"/>
    <n v="0.12910515215426335"/>
    <n v="1"/>
    <x v="0"/>
    <x v="791"/>
    <x v="500"/>
    <s v="Sandefjord Fotball vs Brann"/>
    <d v="2026-08-30T13:51:20"/>
  </r>
  <r>
    <s v="Real Madrid vs Málaga / Correct Score"/>
    <s v="Fulltbet"/>
    <x v="3611"/>
    <n v="27.32"/>
    <n v="4.4999999999999998E-2"/>
    <n v="28.607329842931939"/>
    <x v="2"/>
    <x v="3"/>
    <x v="21"/>
    <n v="514.98"/>
    <x v="255"/>
    <n v="1.2873298429319391"/>
    <n v="5.3050603906947838E-2"/>
    <n v="1"/>
    <x v="0"/>
    <x v="91"/>
    <x v="869"/>
    <s v="Real Madrid vs Málaga"/>
    <d v="2026-08-30T13:57:09"/>
  </r>
  <r>
    <s v="Viking FK vs Aalesunds FK / Correct Score"/>
    <s v="Fulltbet"/>
    <x v="3612"/>
    <n v="6.2"/>
    <n v="4.4999999999999998E-2"/>
    <n v="6.4921465968586389"/>
    <x v="17"/>
    <x v="5"/>
    <x v="411"/>
    <n v="480.26"/>
    <x v="255"/>
    <n v="0.29214659685863875"/>
    <n v="1.290967392662308E-2"/>
    <n v="1"/>
    <x v="0"/>
    <x v="571"/>
    <x v="838"/>
    <s v="Viking FK vs Aalesunds FK"/>
    <d v="2026-08-30T13:57:15"/>
  </r>
  <r>
    <s v="Tromsø vs Sarpsborg 08 / Correct Score"/>
    <s v="Fulltbet"/>
    <x v="3613"/>
    <n v="21.554349999999999"/>
    <n v="4.4999999999999998E-2"/>
    <n v="22.57"/>
    <x v="17"/>
    <x v="5"/>
    <x v="4"/>
    <n v="473.88"/>
    <x v="255"/>
    <n v="1.0156500000000008"/>
    <n v="4.5484827382459694E-2"/>
    <n v="1"/>
    <x v="0"/>
    <x v="565"/>
    <x v="1060"/>
    <s v="Tromsø vs Sarpsborg 08"/>
    <d v="2026-08-30T13:57:23"/>
  </r>
  <r>
    <s v="Tromsø vs Sarpsborg 08 / Correct Score"/>
    <s v="Fulltbet"/>
    <x v="3613"/>
    <n v="44.417049999999996"/>
    <n v="4.4999999999999998E-2"/>
    <n v="46.51"/>
    <x v="21"/>
    <x v="5"/>
    <x v="3"/>
    <n v="399.99"/>
    <x v="255"/>
    <n v="2.0929500000000019"/>
    <n v="0.11104540113502837"/>
    <n v="1"/>
    <x v="0"/>
    <x v="565"/>
    <x v="1060"/>
    <s v="Tromsø vs Sarpsborg 08"/>
    <d v="2026-08-30T13:57:23"/>
  </r>
  <r>
    <s v="Viking FK vs Aalesunds FK / Match Odds"/>
    <s v="Fulltbet"/>
    <x v="3614"/>
    <n v="59.69"/>
    <n v="4.4999999999999998E-2"/>
    <n v="62.502617801047123"/>
    <x v="3"/>
    <x v="7"/>
    <x v="89"/>
    <n v="550"/>
    <x v="255"/>
    <n v="2.812617801047125"/>
    <n v="0.10852727272727272"/>
    <n v="1"/>
    <x v="34"/>
    <x v="571"/>
    <x v="838"/>
    <s v="Viking FK vs Aalesunds FK"/>
    <d v="2026-08-30T13:57:25"/>
  </r>
  <r>
    <s v="Real Madrid vs Málaga / Match Odds"/>
    <s v="Fulltbet"/>
    <x v="3615"/>
    <n v="27.28"/>
    <n v="4.4999999999999998E-2"/>
    <n v="28.565445026178011"/>
    <x v="3"/>
    <x v="92"/>
    <x v="15"/>
    <n v="399.98"/>
    <x v="255"/>
    <n v="1.2854450261780102"/>
    <n v="6.820341017050853E-2"/>
    <n v="1"/>
    <x v="4"/>
    <x v="91"/>
    <x v="869"/>
    <s v="Real Madrid vs Málaga"/>
    <d v="2026-08-30T13:57:26"/>
  </r>
  <r>
    <s v="Fram Reykjavik vs KA Akureyrar / Correct Score"/>
    <s v="Fulltbet"/>
    <x v="3616"/>
    <n v="8.09"/>
    <n v="4.4999999999999998E-2"/>
    <n v="8.4712041884816749"/>
    <x v="17"/>
    <x v="5"/>
    <x v="346"/>
    <n v="499.73"/>
    <x v="255"/>
    <n v="0.38120418848167503"/>
    <n v="1.6188741920637142E-2"/>
    <n v="1"/>
    <x v="0"/>
    <x v="900"/>
    <x v="974"/>
    <s v="Fram Reykjavik vs KA Akureyrar"/>
    <d v="2026-08-30T15:52:26"/>
  </r>
  <r>
    <s v="Flamengo vs Botafogo FR / Correct Score"/>
    <s v="Fulltbet"/>
    <x v="3617"/>
    <n v="12.44"/>
    <n v="4.4999999999999998E-2"/>
    <n v="13.026178010471204"/>
    <x v="17"/>
    <x v="5"/>
    <x v="178"/>
    <n v="508.17"/>
    <x v="255"/>
    <n v="0.58617801047120466"/>
    <n v="2.4479996851447347E-2"/>
    <n v="1"/>
    <x v="0"/>
    <x v="486"/>
    <x v="397"/>
    <s v="Flamengo vs Botafogo FR"/>
    <d v="2026-08-30T17:56:14"/>
  </r>
  <r>
    <s v="Famalicão vs Gil Vicente / Total 0.5"/>
    <s v="Fulltbet"/>
    <x v="3618"/>
    <n v="-20"/>
    <n v="4.4999999999999998E-2"/>
    <n v="-20"/>
    <x v="12"/>
    <x v="47"/>
    <x v="48"/>
    <n v="20"/>
    <x v="255"/>
    <n v="0"/>
    <n v="-1"/>
    <n v="0"/>
    <x v="0"/>
    <x v="146"/>
    <x v="767"/>
    <s v="Famalicão vs Gil Vicente"/>
    <d v="2026-08-30T18:19:58"/>
  </r>
  <r>
    <s v="Argentinos Juniors vs Aldosivi / Total 2.5"/>
    <s v="Fulltbet"/>
    <x v="3619"/>
    <n v="1.18"/>
    <n v="4.4999999999999998E-2"/>
    <n v="1.2356020942408377"/>
    <x v="12"/>
    <x v="70"/>
    <x v="52"/>
    <n v="2"/>
    <x v="255"/>
    <n v="5.5602094240837729E-2"/>
    <n v="0.59"/>
    <n v="1"/>
    <x v="0"/>
    <x v="1053"/>
    <x v="491"/>
    <s v="Argentinos Juniors vs Aldosivi"/>
    <d v="2026-08-30T18:24:45"/>
  </r>
  <r>
    <s v="Club Guaraní vs Club Sportivo Ameliano / Total 2.5"/>
    <s v="Fulltbet"/>
    <x v="3620"/>
    <n v="-2"/>
    <n v="4.4999999999999998E-2"/>
    <n v="-2"/>
    <x v="12"/>
    <x v="70"/>
    <x v="53"/>
    <n v="2"/>
    <x v="255"/>
    <n v="0"/>
    <n v="-1"/>
    <n v="0"/>
    <x v="0"/>
    <x v="29"/>
    <x v="1040"/>
    <s v="Club Guaraní vs Club Sportivo Ameliano"/>
    <d v="2026-08-30T20:23:15"/>
  </r>
  <r>
    <s v="Mirassol FC vs Palmeiras / Correct Score"/>
    <s v="Fulltbet"/>
    <x v="3621"/>
    <n v="41.38"/>
    <n v="4.4999999999999998E-2"/>
    <n v="43.329842931937179"/>
    <x v="17"/>
    <x v="5"/>
    <x v="5"/>
    <n v="519.96"/>
    <x v="255"/>
    <n v="1.9498429319371766"/>
    <n v="7.958304484960381E-2"/>
    <n v="1"/>
    <x v="0"/>
    <x v="468"/>
    <x v="1015"/>
    <s v="Mirassol FC vs Palmeiras"/>
    <d v="2026-08-30T20:31:58"/>
  </r>
  <r>
    <s v="Independiente Rivadavia vs Racing Club / Total 2.5"/>
    <s v="Fulltbet"/>
    <x v="3622"/>
    <n v="1.47"/>
    <n v="4.4999999999999998E-2"/>
    <n v="1.5392670157068062"/>
    <x v="12"/>
    <x v="70"/>
    <x v="53"/>
    <n v="2"/>
    <x v="255"/>
    <n v="6.9267015706806268E-2"/>
    <n v="0.73499999999999999"/>
    <n v="1"/>
    <x v="0"/>
    <x v="633"/>
    <x v="1112"/>
    <s v="Independiente Rivadavia vs Racing Club"/>
    <d v="2026-08-30T23:00:57"/>
  </r>
  <r>
    <s v="Asyut Petroleum vs National Bank / Total 0.5"/>
    <s v="Fulltbet"/>
    <x v="3623"/>
    <n v="9.85"/>
    <n v="4.4999999999999998E-2"/>
    <n v="10.31413612565445"/>
    <x v="12"/>
    <x v="47"/>
    <x v="236"/>
    <n v="20"/>
    <x v="256"/>
    <n v="0.46413612565445028"/>
    <n v="0.49249999999999999"/>
    <n v="1"/>
    <x v="0"/>
    <x v="1054"/>
    <x v="1113"/>
    <s v="Asyut Petroleum vs National Bank"/>
    <d v="2026-08-31T12:36:49"/>
  </r>
  <r>
    <s v="FK Liepaja vs Riga FC / Correct Score"/>
    <s v="Fulltbet"/>
    <x v="3624"/>
    <n v="15.2"/>
    <n v="4.4999999999999998E-2"/>
    <n v="15.916230366492147"/>
    <x v="17"/>
    <x v="6"/>
    <x v="200"/>
    <n v="557.17999999999995"/>
    <x v="256"/>
    <n v="0.71623036649214811"/>
    <n v="2.7280232599877958E-2"/>
    <n v="1"/>
    <x v="0"/>
    <x v="914"/>
    <x v="790"/>
    <s v="FK Liepaja vs Riga FC"/>
    <d v="2026-08-31T13:27:44"/>
  </r>
  <r>
    <s v="IK Sirius vs Malmö FF / Correct Score"/>
    <s v="Fulltbet"/>
    <x v="3625"/>
    <n v="-570"/>
    <n v="4.4999999999999998E-2"/>
    <n v="-570"/>
    <x v="17"/>
    <x v="5"/>
    <x v="110"/>
    <n v="570"/>
    <x v="256"/>
    <n v="0"/>
    <n v="-1"/>
    <n v="0"/>
    <x v="0"/>
    <x v="496"/>
    <x v="356"/>
    <s v="IK Sirius vs Malmö FF"/>
    <d v="2026-08-31T15:51:38"/>
  </r>
  <r>
    <s v="IK Sirius vs Malmö FF / Total 2.5"/>
    <s v="Fulltbet"/>
    <x v="3626"/>
    <n v="-5"/>
    <n v="4.4999999999999998E-2"/>
    <n v="-5"/>
    <x v="12"/>
    <x v="70"/>
    <x v="73"/>
    <n v="5"/>
    <x v="256"/>
    <n v="0"/>
    <n v="-1"/>
    <n v="0"/>
    <x v="0"/>
    <x v="496"/>
    <x v="356"/>
    <s v="IK Sirius vs Malmö FF"/>
    <d v="2026-08-31T15:51:48"/>
  </r>
  <r>
    <s v="Benfica vs Estoril-Praia / Match Odds"/>
    <s v="Fulltbet"/>
    <x v="3627"/>
    <n v="17.11"/>
    <n v="4.4999999999999998E-2"/>
    <n v="17.916230366492147"/>
    <x v="3"/>
    <x v="7"/>
    <x v="110"/>
    <n v="430.08"/>
    <x v="256"/>
    <n v="0.80623036649214797"/>
    <n v="3.9783296130952384E-2"/>
    <n v="1"/>
    <x v="10"/>
    <x v="431"/>
    <x v="157"/>
    <s v="Benfica vs Estoril-Praia"/>
    <d v="2026-08-31T18:09:59"/>
  </r>
  <r>
    <s v="FC Barcelona vs Rayo Vallecano / Match Odds"/>
    <s v="Fulltbet"/>
    <x v="3628"/>
    <n v="14.67"/>
    <n v="4.4999999999999998E-2"/>
    <n v="15.361256544502618"/>
    <x v="3"/>
    <x v="7"/>
    <x v="80"/>
    <n v="430.08"/>
    <x v="256"/>
    <n v="0.6912565445026182"/>
    <n v="3.4109933035714288E-2"/>
    <n v="1"/>
    <x v="4"/>
    <x v="130"/>
    <x v="385"/>
    <s v="FC Barcelona vs Rayo Vallecano"/>
    <d v="2026-08-31T18:30:22"/>
  </r>
  <r>
    <s v="Unión La Calera vs La Serena / Total 2.5"/>
    <s v="Fulltbet"/>
    <x v="3629"/>
    <n v="-5"/>
    <n v="4.4999999999999998E-2"/>
    <n v="-5"/>
    <x v="12"/>
    <x v="70"/>
    <x v="139"/>
    <n v="5"/>
    <x v="256"/>
    <n v="0"/>
    <n v="-1"/>
    <n v="0"/>
    <x v="0"/>
    <x v="1055"/>
    <x v="1034"/>
    <s v="Unión La Calera vs La Serena"/>
    <d v="2026-08-31T21:11:56"/>
  </r>
  <r>
    <s v="Fortaleza EC vs Operário Ferroviário / Correct Score"/>
    <s v="Fulltbet"/>
    <x v="3630"/>
    <n v="7.64"/>
    <n v="4.4999999999999998E-2"/>
    <n v="8"/>
    <x v="21"/>
    <x v="5"/>
    <x v="16"/>
    <n v="100"/>
    <x v="256"/>
    <n v="0.36000000000000032"/>
    <n v="7.6399999999999996E-2"/>
    <n v="1"/>
    <x v="0"/>
    <x v="771"/>
    <x v="959"/>
    <s v="Fortaleza EC vs Operário Ferroviário"/>
    <d v="2026-08-31T21:29:44"/>
  </r>
  <r>
    <s v="Durban City FC vs Stellenbosch FC / Total 0.5"/>
    <s v="Fulltbet"/>
    <x v="3631"/>
    <n v="-20"/>
    <n v="4.4999999999999998E-2"/>
    <n v="-20"/>
    <x v="12"/>
    <x v="47"/>
    <x v="198"/>
    <n v="20"/>
    <x v="257"/>
    <n v="0"/>
    <n v="-1"/>
    <n v="0"/>
    <x v="0"/>
    <x v="1056"/>
    <x v="1114"/>
    <s v="Durban City FC vs Stellenbosch FC"/>
    <d v="2026-09-01T16:22:00"/>
  </r>
  <r>
    <s v="Bradford City vs Cambridge United / Total 0.5"/>
    <s v="Fulltbet"/>
    <x v="3632"/>
    <n v="9.9499999999999993"/>
    <n v="4.4999999999999998E-2"/>
    <n v="10.418848167539267"/>
    <x v="12"/>
    <x v="47"/>
    <x v="236"/>
    <n v="20"/>
    <x v="257"/>
    <n v="0.46884816753926728"/>
    <n v="0.49749999999999994"/>
    <n v="1"/>
    <x v="0"/>
    <x v="453"/>
    <x v="78"/>
    <s v="Bradford City vs Cambridge United"/>
    <d v="2026-09-01T17:02:51"/>
  </r>
  <r>
    <s v="Birmingham City vs Southampton / Both Teams To Score"/>
    <s v="Fulltbet"/>
    <x v="3633"/>
    <n v="76.81"/>
    <n v="4.4999999999999998E-2"/>
    <n v="80.429319371727757"/>
    <x v="6"/>
    <x v="14"/>
    <x v="82"/>
    <n v="120"/>
    <x v="257"/>
    <n v="3.6193193717277552"/>
    <n v="0.64008333333333334"/>
    <n v="1"/>
    <x v="0"/>
    <x v="299"/>
    <x v="227"/>
    <s v="Birmingham City vs Southampton"/>
    <d v="2026-09-01T17:15:16"/>
  </r>
  <r>
    <s v="Portsmouth vs Derby County / Total 2.5"/>
    <s v="Fulltbet"/>
    <x v="3634"/>
    <n v="-5"/>
    <n v="4.4999999999999998E-2"/>
    <n v="-5"/>
    <x v="12"/>
    <x v="70"/>
    <x v="65"/>
    <n v="5"/>
    <x v="257"/>
    <n v="0"/>
    <n v="-1"/>
    <n v="0"/>
    <x v="0"/>
    <x v="1057"/>
    <x v="544"/>
    <s v="Portsmouth vs Derby County"/>
    <d v="2026-09-01T17:40:26"/>
  </r>
  <r>
    <s v="Londrina vs EC Juventude / Correct Score"/>
    <s v="Fulltbet"/>
    <x v="3635"/>
    <n v="12.57"/>
    <n v="4.4999999999999998E-2"/>
    <n v="13.162303664921467"/>
    <x v="12"/>
    <x v="60"/>
    <x v="38"/>
    <n v="100.02"/>
    <x v="257"/>
    <n v="0.59230366492146658"/>
    <n v="0.1256748650269946"/>
    <n v="1"/>
    <x v="0"/>
    <x v="457"/>
    <x v="93"/>
    <s v="Londrina vs EC Juventude"/>
    <d v="2026-09-01T21:22:05"/>
  </r>
  <r>
    <s v="Londrina vs EC Juventude / Total 0.5"/>
    <s v="Fulltbet"/>
    <x v="3636"/>
    <n v="-20"/>
    <n v="4.4999999999999998E-2"/>
    <n v="-20"/>
    <x v="12"/>
    <x v="47"/>
    <x v="48"/>
    <n v="20"/>
    <x v="257"/>
    <n v="0"/>
    <n v="-1"/>
    <n v="0"/>
    <x v="0"/>
    <x v="457"/>
    <x v="93"/>
    <s v="Londrina vs EC Juventude"/>
    <d v="2026-09-01T21:22: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6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8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4"/>
        <item x="69"/>
        <item m="1" x="102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3"/>
        <item x="36"/>
        <item m="1" x="105"/>
        <item x="54"/>
        <item x="55"/>
        <item x="76"/>
        <item x="44"/>
        <item x="30"/>
        <item m="1" x="99"/>
        <item m="1" x="97"/>
        <item m="1" x="100"/>
        <item m="1" x="94"/>
        <item m="1" x="95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1"/>
        <item x="81"/>
        <item x="43"/>
        <item x="90"/>
        <item x="89"/>
        <item x="38"/>
        <item m="1" x="93"/>
        <item x="87"/>
        <item x="79"/>
        <item x="41"/>
        <item m="1" x="98"/>
        <item x="33"/>
        <item x="35"/>
        <item x="70"/>
        <item x="42"/>
        <item x="19"/>
        <item x="28"/>
        <item x="10"/>
        <item x="17"/>
        <item x="82"/>
        <item m="1" x="96"/>
        <item x="77"/>
        <item m="1" x="106"/>
        <item x="7"/>
        <item x="92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3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3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84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843">
      <pivotArea dataOnly="0" labelOnly="1" fieldPosition="0">
        <references count="1">
          <reference field="7" count="2">
            <x v="90"/>
            <x v="103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90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3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2"/>
          </reference>
        </references>
      </pivotArea>
    </format>
    <format dxfId="833">
      <pivotArea dataOnly="0" labelOnly="1" fieldPosition="0">
        <references count="1">
          <reference field="7" count="1">
            <x v="87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831">
      <pivotArea dataOnly="0" labelOnly="1" fieldPosition="0">
        <references count="1">
          <reference field="7" count="1">
            <x v="91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3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axis="axisRow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5"/>
    </i>
    <i>
      <x v="366"/>
    </i>
    <i>
      <x v="369"/>
    </i>
    <i>
      <x v="371"/>
    </i>
    <i>
      <x v="374"/>
    </i>
    <i>
      <x v="377"/>
    </i>
    <i>
      <x v="392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dataFiel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47">
      <pivotArea type="all" dataOnly="0" outline="0" fieldPosition="0"/>
    </format>
    <format dxfId="746">
      <pivotArea field="7" type="button" dataOnly="0" labelOnly="1" outline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5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886"/>
    </i>
    <i r="1">
      <x v="92"/>
    </i>
    <i r="1">
      <x v="324"/>
    </i>
    <i r="1">
      <x v="405"/>
    </i>
    <i r="1">
      <x v="192"/>
    </i>
    <i r="1">
      <x v="854"/>
    </i>
    <i r="1">
      <x v="796"/>
    </i>
    <i r="1">
      <x v="887"/>
    </i>
    <i r="1">
      <x v="789"/>
    </i>
    <i r="1">
      <x v="247"/>
    </i>
    <i r="1">
      <x v="147"/>
    </i>
    <i r="1">
      <x v="375"/>
    </i>
    <i r="1">
      <x v="878"/>
    </i>
    <i r="1">
      <x v="633"/>
    </i>
    <i r="1">
      <x v="357"/>
    </i>
    <i r="1">
      <x v="65"/>
    </i>
    <i r="1">
      <x v="675"/>
    </i>
    <i r="1">
      <x v="132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326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77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35"/>
    </i>
    <i r="1">
      <x v="199"/>
    </i>
    <i r="1">
      <x v="693"/>
    </i>
    <i r="1">
      <x v="141"/>
    </i>
    <i r="1">
      <x v="704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6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9"/>
        <item h="1" x="26"/>
        <item h="1" x="27"/>
        <item h="1" x="28"/>
        <item x="29"/>
        <item m="1" x="94"/>
        <item h="1" m="1" x="10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4"/>
        <item m="1" x="96"/>
        <item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x="68"/>
        <item h="1" x="84"/>
        <item h="1" m="1" x="101"/>
        <item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4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/>
    </i>
    <i r="1">
      <x v="34"/>
    </i>
    <i r="1">
      <x v="7"/>
    </i>
    <i r="1">
      <x v="8"/>
    </i>
    <i r="1">
      <x v="46"/>
    </i>
    <i r="1">
      <x v="6"/>
    </i>
    <i r="1">
      <x v="53"/>
    </i>
    <i r="1">
      <x v="18"/>
    </i>
    <i r="1">
      <x v="12"/>
    </i>
    <i r="1">
      <x v="52"/>
    </i>
    <i r="1">
      <x v="50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 axis="axisRow" fieldPosition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 axis="axisRow" fieldPosition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Row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Row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Row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Row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 axis="axisRow" fieldPosition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556">
      <pivotArea type="all" dataOnly="0" outline="0" fieldPosition="0"/>
    </format>
    <format dxfId="555">
      <pivotArea field="7" type="button" dataOnly="0" labelOnly="1" outline="0" axis="axisPage" fieldPosition="0"/>
    </format>
    <format dxfId="554">
      <pivotArea dataOnly="0" labelOnly="1" grandRow="1" outline="0" fieldPosition="0"/>
    </format>
    <format dxfId="553">
      <pivotArea type="all" dataOnly="0" outline="0" fieldPosition="0"/>
    </format>
    <format dxfId="552">
      <pivotArea field="7" type="button" dataOnly="0" labelOnly="1" outline="0" axis="axisPage" fieldPosition="0"/>
    </format>
    <format dxfId="551">
      <pivotArea dataOnly="0" labelOnly="1" grandRow="1" outline="0" fieldPosition="0"/>
    </format>
    <format dxfId="550">
      <pivotArea type="all" dataOnly="0" outline="0" fieldPosition="0"/>
    </format>
    <format dxfId="549">
      <pivotArea outline="0" collapsedLevelsAreSubtotals="1" fieldPosition="0"/>
    </format>
    <format dxfId="548">
      <pivotArea field="7" type="button" dataOnly="0" labelOnly="1" outline="0" axis="axisPage" fieldPosition="0"/>
    </format>
    <format dxfId="547">
      <pivotArea dataOnly="0" labelOnly="1" outline="0" axis="axisValues" fieldPosition="0"/>
    </format>
    <format dxfId="546">
      <pivotArea dataOnly="0" labelOnly="1" grandRow="1" outline="0" fieldPosition="0"/>
    </format>
    <format dxfId="545">
      <pivotArea dataOnly="0" labelOnly="1" outline="0" axis="axisValues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7" type="button" dataOnly="0" labelOnly="1" outline="0" axis="axisPage" fieldPosition="0"/>
    </format>
    <format dxfId="541">
      <pivotArea dataOnly="0" labelOnly="1" outline="0" axis="axisValues" fieldPosition="0"/>
    </format>
    <format dxfId="540">
      <pivotArea dataOnly="0" labelOnly="1" grandRow="1" outline="0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7" type="button" dataOnly="0" labelOnly="1" outline="0" axis="axisPage" fieldPosition="0"/>
    </format>
    <format dxfId="535">
      <pivotArea dataOnly="0" labelOnly="1" outline="0" axis="axisValues" fieldPosition="0"/>
    </format>
    <format dxfId="534">
      <pivotArea dataOnly="0" labelOnly="1" grandRow="1" outline="0" fieldPosition="0"/>
    </format>
    <format dxfId="533">
      <pivotArea dataOnly="0" labelOnly="1" outline="0" axis="axisValues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7" type="button" dataOnly="0" labelOnly="1" outline="0" axis="axisPage" fieldPosition="0"/>
    </format>
    <format dxfId="529">
      <pivotArea dataOnly="0" labelOnly="1" outline="0" axis="axisValues" fieldPosition="0"/>
    </format>
    <format dxfId="528">
      <pivotArea dataOnly="0" labelOnly="1" grandRow="1" outline="0" fieldPosition="0"/>
    </format>
    <format dxfId="527">
      <pivotArea dataOnly="0" labelOnly="1" outline="0" axis="axisValues" fieldPosition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7" type="button" dataOnly="0" labelOnly="1" outline="0" axis="axisPage" fieldPosition="0"/>
    </format>
    <format dxfId="523">
      <pivotArea dataOnly="0" labelOnly="1" outline="0" axis="axisValues" fieldPosition="0"/>
    </format>
    <format dxfId="522">
      <pivotArea dataOnly="0" labelOnly="1" grandRow="1" outline="0" fieldPosition="0"/>
    </format>
    <format dxfId="521">
      <pivotArea dataOnly="0" labelOnly="1" outline="0" axis="axisValues" fieldPosition="0"/>
    </format>
    <format dxfId="520">
      <pivotArea outline="0" collapsedLevelsAreSubtotals="1" fieldPosition="0"/>
    </format>
    <format dxfId="5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axis="axisRow" showAll="0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default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03">
      <pivotArea type="all" dataOnly="0" outline="0" fieldPosition="0"/>
    </format>
    <format dxfId="602">
      <pivotArea field="7" type="button" dataOnly="0" labelOnly="1" outline="0"/>
    </format>
    <format dxfId="601">
      <pivotArea dataOnly="0" labelOnly="1" grandRow="1" outline="0" fieldPosition="0"/>
    </format>
    <format dxfId="600">
      <pivotArea type="all" dataOnly="0" outline="0" fieldPosition="0"/>
    </format>
    <format dxfId="599">
      <pivotArea field="7" type="button" dataOnly="0" labelOnly="1" outline="0"/>
    </format>
    <format dxfId="598">
      <pivotArea dataOnly="0" labelOnly="1" grandRow="1" outline="0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field="7" type="button" dataOnly="0" labelOnly="1" outline="0"/>
    </format>
    <format dxfId="594">
      <pivotArea dataOnly="0" labelOnly="1" outline="0" axis="axisValues" fieldPosition="0"/>
    </format>
    <format dxfId="593">
      <pivotArea dataOnly="0" labelOnly="1" grandRow="1" outline="0" fieldPosition="0"/>
    </format>
    <format dxfId="592">
      <pivotArea dataOnly="0" labelOnly="1" outline="0" axis="axisValues" fieldPosition="0"/>
    </format>
    <format dxfId="591">
      <pivotArea type="all" dataOnly="0" outline="0" fieldPosition="0"/>
    </format>
    <format dxfId="590">
      <pivotArea outline="0" collapsedLevelsAreSubtotals="1" fieldPosition="0"/>
    </format>
    <format dxfId="589">
      <pivotArea field="7" type="button" dataOnly="0" labelOnly="1" outline="0"/>
    </format>
    <format dxfId="588">
      <pivotArea dataOnly="0" labelOnly="1" outline="0" axis="axisValues" fieldPosition="0"/>
    </format>
    <format dxfId="587">
      <pivotArea dataOnly="0" labelOnly="1" grandRow="1" outline="0" fieldPosition="0"/>
    </format>
    <format dxfId="586">
      <pivotArea dataOnly="0" labelOnly="1" outline="0" axis="axisValues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7" type="button" dataOnly="0" labelOnly="1" outline="0"/>
    </format>
    <format dxfId="582">
      <pivotArea dataOnly="0" labelOnly="1" outline="0" axis="axisValues" fieldPosition="0"/>
    </format>
    <format dxfId="581">
      <pivotArea dataOnly="0" labelOnly="1" grandRow="1" outline="0" fieldPosition="0"/>
    </format>
    <format dxfId="580">
      <pivotArea dataOnly="0" labelOnly="1" outline="0" axis="axisValues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type="origin" dataOnly="0" labelOnly="1" outline="0" fieldPosition="0"/>
    </format>
    <format dxfId="563">
      <pivotArea field="7" type="button" dataOnly="0" labelOnly="1" outline="0"/>
    </format>
    <format dxfId="562">
      <pivotArea field="-2" type="button" dataOnly="0" labelOnly="1" outline="0" axis="axisCol" fieldPosition="0"/>
    </format>
    <format dxfId="561">
      <pivotArea type="topRight" dataOnly="0" labelOnly="1" outline="0" fieldPosition="0"/>
    </format>
    <format dxfId="560">
      <pivotArea field="16" type="button" dataOnly="0" labelOnly="1" outline="0"/>
    </format>
    <format dxfId="559">
      <pivotArea dataOnly="0" labelOnly="1" grandRow="1" outline="0" fieldPosition="0"/>
    </format>
    <format dxfId="55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5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3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dataField="1"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7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80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>
      <x v="1240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71">
      <pivotArea type="all" dataOnly="0" outline="0" fieldPosition="0"/>
    </format>
    <format dxfId="670">
      <pivotArea field="7" type="button" dataOnly="0" labelOnly="1" outline="0" axis="axisCol" fieldPosition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 axis="axisCol" fieldPosition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 axis="axisCol" fieldPosition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 axis="axisCol" fieldPosition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 axis="axisCol" fieldPosition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 axis="axisCol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 axis="axisCol" fieldPosition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63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63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629">
      <pivotArea dataOnly="0" labelOnly="1" fieldPosition="0">
        <references count="1">
          <reference field="16" count="1">
            <x v="352"/>
          </reference>
        </references>
      </pivotArea>
    </format>
    <format dxfId="62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627">
      <pivotArea dataOnly="0" labelOnly="1" fieldPosition="0">
        <references count="1">
          <reference field="16" count="1">
            <x v="433"/>
          </reference>
        </references>
      </pivotArea>
    </format>
    <format dxfId="62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25">
      <pivotArea dataOnly="0" labelOnly="1" fieldPosition="0">
        <references count="1">
          <reference field="16" count="1">
            <x v="448"/>
          </reference>
        </references>
      </pivotArea>
    </format>
    <format dxfId="62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23">
      <pivotArea dataOnly="0" labelOnly="1" fieldPosition="0">
        <references count="1">
          <reference field="16" count="1">
            <x v="104"/>
          </reference>
        </references>
      </pivotArea>
    </format>
    <format dxfId="62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21">
      <pivotArea dataOnly="0" labelOnly="1" fieldPosition="0">
        <references count="1">
          <reference field="16" count="1">
            <x v="68"/>
          </reference>
        </references>
      </pivotArea>
    </format>
    <format dxfId="62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19">
      <pivotArea dataOnly="0" labelOnly="1" fieldPosition="0">
        <references count="1">
          <reference field="16" count="1">
            <x v="409"/>
          </reference>
        </references>
      </pivotArea>
    </format>
    <format dxfId="61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1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1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15">
      <pivotArea type="all" dataOnly="0" outline="0" fieldPosition="0"/>
    </format>
    <format dxfId="614">
      <pivotArea outline="0" collapsedLevelsAreSubtotals="1" fieldPosition="0"/>
    </format>
    <format dxfId="613">
      <pivotArea type="origin" dataOnly="0" labelOnly="1" outline="0" fieldPosition="0"/>
    </format>
    <format dxfId="612">
      <pivotArea field="7" type="button" dataOnly="0" labelOnly="1" outline="0" axis="axisCol" fieldPosition="0"/>
    </format>
    <format dxfId="611">
      <pivotArea field="-2" type="button" dataOnly="0" labelOnly="1" outline="0" axis="axisCol" fieldPosition="1"/>
    </format>
    <format dxfId="610">
      <pivotArea type="topRight" dataOnly="0" labelOnly="1" outline="0" fieldPosition="0"/>
    </format>
    <format dxfId="609">
      <pivotArea field="16" type="button" dataOnly="0" labelOnly="1" outline="0" axis="axisRow" fieldPosition="0"/>
    </format>
    <format dxfId="60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07">
      <pivotArea dataOnly="0" labelOnly="1" grandRow="1" outline="0" fieldPosition="0"/>
    </format>
    <format dxfId="606">
      <pivotArea dataOnly="0" labelOnly="1" fieldPosition="0">
        <references count="1">
          <reference field="7" count="0"/>
        </references>
      </pivotArea>
    </format>
    <format dxfId="6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7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/>
    </i>
    <i>
      <x v="12"/>
    </i>
    <i>
      <x v="5"/>
    </i>
    <i>
      <x v="6"/>
    </i>
    <i>
      <x v="15"/>
    </i>
    <i>
      <x v="1"/>
    </i>
    <i>
      <x v="17"/>
    </i>
    <i>
      <x v="14"/>
    </i>
    <i>
      <x v="9"/>
    </i>
    <i>
      <x v="18"/>
    </i>
    <i>
      <x v="4"/>
    </i>
    <i>
      <x v="10"/>
    </i>
    <i>
      <x v="2"/>
    </i>
    <i>
      <x v="11"/>
    </i>
    <i>
      <x v="3"/>
    </i>
    <i>
      <x v="13"/>
    </i>
    <i>
      <x v="8"/>
    </i>
    <i>
      <x v="16"/>
    </i>
    <i>
      <x v="7"/>
    </i>
    <i t="grand">
      <x/>
    </i>
  </rowItems>
  <colItems count="1">
    <i/>
  </colItems>
  <dataFields count="1">
    <dataField name="Soma de L/P Líquido" fld="0" baseField="0" baseItem="0"/>
  </dataFields>
  <formats count="25">
    <format dxfId="382">
      <pivotArea outline="0" collapsedLevelsAreSubtotals="1" fieldPosition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dataOnly="0" labelOnly="1" outline="0" axis="axisValues" fieldPosition="0"/>
    </format>
    <format dxfId="378">
      <pivotArea dataOnly="0" labelOnly="1" grandRow="1" outline="0" fieldPosition="0"/>
    </format>
    <format dxfId="377">
      <pivotArea dataOnly="0" labelOnly="1" outline="0" axis="axisValues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dataOnly="0" labelOnly="1" outline="0" axis="axisValues" fieldPosition="0"/>
    </format>
    <format dxfId="373">
      <pivotArea dataOnly="0" labelOnly="1" grandRow="1" outline="0" fieldPosition="0"/>
    </format>
    <format dxfId="372">
      <pivotArea dataOnly="0" labelOnly="1" outline="0" axis="axisValues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1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1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1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1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6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3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2"/>
    </i>
    <i>
      <x v="12"/>
    </i>
    <i>
      <x v="32"/>
    </i>
    <i>
      <x v="19"/>
    </i>
    <i>
      <x v="5"/>
    </i>
    <i>
      <x v="18"/>
    </i>
    <i>
      <x v="44"/>
    </i>
    <i>
      <x v="24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397">
      <pivotArea outline="0" collapsedLevelsAreSubtotals="1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1" type="button" dataOnly="0" labelOnly="1" outline="0" axis="axisRow" fieldPosition="0"/>
    </format>
    <format dxfId="393">
      <pivotArea dataOnly="0" labelOnly="1" outline="0" axis="axisValues" fieldPosition="0"/>
    </format>
    <format dxfId="392">
      <pivotArea dataOnly="0" labelOnly="1" fieldPosition="0">
        <references count="1">
          <reference field="1" count="0"/>
        </references>
      </pivotArea>
    </format>
    <format dxfId="391">
      <pivotArea dataOnly="0" labelOnly="1" grandRow="1" outline="0" fieldPosition="0"/>
    </format>
    <format dxfId="390">
      <pivotArea dataOnly="0" labelOnly="1" outline="0" axis="axisValues" fieldPosition="0"/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field="1" type="button" dataOnly="0" labelOnly="1" outline="0" axis="axisRow" fieldPosition="0"/>
    </format>
    <format dxfId="386">
      <pivotArea dataOnly="0" labelOnly="1" outline="0" axis="axisValues" fieldPosition="0"/>
    </format>
    <format dxfId="385">
      <pivotArea dataOnly="0" labelOnly="1" fieldPosition="0">
        <references count="1">
          <reference field="1" count="0"/>
        </references>
      </pivotArea>
    </format>
    <format dxfId="384">
      <pivotArea dataOnly="0" labelOnly="1" grandRow="1" outline="0" fieldPosition="0"/>
    </format>
    <format dxfId="383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6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6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26">
      <pivotArea outline="0" collapsedLevelsAreSubtotals="1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field="1" type="button" dataOnly="0" labelOnly="1" outline="0" axis="axisRow" fieldPosition="0"/>
    </format>
    <format dxfId="422">
      <pivotArea dataOnly="0" labelOnly="1" outline="0" axis="axisValues" fieldPosition="0"/>
    </format>
    <format dxfId="421">
      <pivotArea dataOnly="0" labelOnly="1" fieldPosition="0">
        <references count="1">
          <reference field="1" count="0"/>
        </references>
      </pivotArea>
    </format>
    <format dxfId="420">
      <pivotArea dataOnly="0" labelOnly="1" grandRow="1" outline="0" fieldPosition="0"/>
    </format>
    <format dxfId="419">
      <pivotArea dataOnly="0" labelOnly="1" outline="0" axis="axisValues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field="1" type="button" dataOnly="0" labelOnly="1" outline="0" axis="axisRow" fieldPosition="0"/>
    </format>
    <format dxfId="415">
      <pivotArea dataOnly="0" labelOnly="1" outline="0" axis="axisValues" fieldPosition="0"/>
    </format>
    <format dxfId="414">
      <pivotArea dataOnly="0" labelOnly="1" fieldPosition="0">
        <references count="1">
          <reference field="1" count="0"/>
        </references>
      </pivotArea>
    </format>
    <format dxfId="413">
      <pivotArea dataOnly="0" labelOnly="1" grandRow="1" outline="0" fieldPosition="0"/>
    </format>
    <format dxfId="412">
      <pivotArea dataOnly="0" labelOnly="1" outline="0" axis="axisValues" fieldPosition="0"/>
    </format>
    <format dxfId="411">
      <pivotArea type="all" dataOnly="0" outline="0" fieldPosition="0"/>
    </format>
    <format dxfId="410">
      <pivotArea outline="0" collapsedLevelsAreSubtotals="1" fieldPosition="0"/>
    </format>
    <format dxfId="409">
      <pivotArea field="1" type="button" dataOnly="0" labelOnly="1" outline="0" axis="axisRow" fieldPosition="0"/>
    </format>
    <format dxfId="408">
      <pivotArea dataOnly="0" labelOnly="1" outline="0" axis="axisValues" fieldPosition="0"/>
    </format>
    <format dxfId="407">
      <pivotArea dataOnly="0" labelOnly="1" fieldPosition="0">
        <references count="1">
          <reference field="1" count="0"/>
        </references>
      </pivotArea>
    </format>
    <format dxfId="406">
      <pivotArea dataOnly="0" labelOnly="1" grandRow="1" outline="0" fieldPosition="0"/>
    </format>
    <format dxfId="405">
      <pivotArea dataOnly="0" labelOnly="1" outline="0" axis="axisValues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field="1" type="button" dataOnly="0" labelOnly="1" outline="0" axis="axisRow" fieldPosition="0"/>
    </format>
    <format dxfId="401">
      <pivotArea dataOnly="0" labelOnly="1" outline="0" axis="axisValues" fieldPosition="0"/>
    </format>
    <format dxfId="400">
      <pivotArea dataOnly="0" labelOnly="1" fieldPosition="0">
        <references count="1">
          <reference field="1" count="0"/>
        </references>
      </pivotArea>
    </format>
    <format dxfId="399">
      <pivotArea dataOnly="0" labelOnly="1" grandRow="1" outline="0" fieldPosition="0"/>
    </format>
    <format dxfId="39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9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dataOnly="0" labelOnly="1" outline="0" axis="axisValues" fieldPosition="0"/>
    </format>
    <format dxfId="447">
      <pivotArea dataOnly="0" labelOnly="1" grandRow="1" outline="0" fieldPosition="0"/>
    </format>
    <format dxfId="446">
      <pivotArea dataOnly="0" labelOnly="1" outline="0" axis="axisValues" fieldPosition="0"/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dataOnly="0" labelOnly="1" outline="0" axis="axisValues" fieldPosition="0"/>
    </format>
    <format dxfId="442">
      <pivotArea dataOnly="0" labelOnly="1" grandRow="1" outline="0" fieldPosition="0"/>
    </format>
    <format dxfId="441">
      <pivotArea dataOnly="0" labelOnly="1" outline="0" axis="axisValues" fieldPosition="0"/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field="1" type="button" dataOnly="0" labelOnly="1" outline="0" axis="axisRow" fieldPosition="0"/>
    </format>
    <format dxfId="437">
      <pivotArea dataOnly="0" labelOnly="1" outline="0" axis="axisValues" fieldPosition="0"/>
    </format>
    <format dxfId="436">
      <pivotArea dataOnly="0" labelOnly="1" fieldPosition="0">
        <references count="1">
          <reference field="1" count="0"/>
        </references>
      </pivotArea>
    </format>
    <format dxfId="435">
      <pivotArea dataOnly="0" labelOnly="1" grandRow="1" outline="0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field="1" type="button" dataOnly="0" labelOnly="1" outline="0" axis="axisRow" fieldPosition="0"/>
    </format>
    <format dxfId="430">
      <pivotArea dataOnly="0" labelOnly="1" outline="0" axis="axisValues" fieldPosition="0"/>
    </format>
    <format dxfId="429">
      <pivotArea dataOnly="0" labelOnly="1" fieldPosition="0">
        <references count="1">
          <reference field="1" count="0"/>
        </references>
      </pivotArea>
    </format>
    <format dxfId="428">
      <pivotArea dataOnly="0" labelOnly="1" grandRow="1" outline="0" fieldPosition="0"/>
    </format>
    <format dxfId="42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8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85">
      <pivotArea outline="0" collapsedLevelsAreSubtotals="1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dataOnly="0" labelOnly="1" outline="0" axis="axisValues" fieldPosition="0"/>
    </format>
    <format dxfId="481">
      <pivotArea dataOnly="0" labelOnly="1" grandRow="1" outline="0" fieldPosition="0"/>
    </format>
    <format dxfId="480">
      <pivotArea dataOnly="0" labelOnly="1" outline="0" axis="axisValues" fieldPosition="0"/>
    </format>
    <format dxfId="479">
      <pivotArea type="all" dataOnly="0" outline="0" fieldPosition="0"/>
    </format>
    <format dxfId="478">
      <pivotArea outline="0" collapsedLevelsAreSubtotals="1" fieldPosition="0"/>
    </format>
    <format dxfId="477">
      <pivotArea dataOnly="0" labelOnly="1" outline="0" axis="axisValues" fieldPosition="0"/>
    </format>
    <format dxfId="476">
      <pivotArea dataOnly="0" labelOnly="1" grandRow="1" outline="0" fieldPosition="0"/>
    </format>
    <format dxfId="475">
      <pivotArea dataOnly="0" labelOnly="1" outline="0" axis="axisValues" fieldPosition="0"/>
    </format>
    <format dxfId="474">
      <pivotArea outline="0" collapsedLevelsAreSubtotals="1" fieldPosition="0"/>
    </format>
    <format dxfId="473">
      <pivotArea outline="0" collapsedLevelsAreSubtotals="1" fieldPosition="0"/>
    </format>
    <format dxfId="472">
      <pivotArea outline="0" collapsedLevelsAreSubtotals="1" fieldPosition="0"/>
    </format>
    <format dxfId="4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0" type="button" dataOnly="0" labelOnly="1" outline="0" axis="axisRow" fieldPosition="0"/>
    </format>
    <format dxfId="46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65">
      <pivotArea dataOnly="0" labelOnly="1" grandRow="1" outline="0" fieldPosition="0"/>
    </format>
    <format dxfId="46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6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6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field="0" type="button" dataOnly="0" labelOnly="1" outline="0" axis="axisRow" fieldPosition="0"/>
    </format>
    <format dxfId="45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56">
      <pivotArea dataOnly="0" labelOnly="1" grandRow="1" outline="0" fieldPosition="0"/>
    </format>
    <format dxfId="45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5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5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6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1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500">
      <pivotArea outline="0" collapsedLevelsAreSubtotals="1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0" type="button" dataOnly="0" labelOnly="1" outline="0" axis="axisRow" fieldPosition="0"/>
    </format>
    <format dxfId="496">
      <pivotArea dataOnly="0" labelOnly="1" outline="0" axis="axisValues" fieldPosition="0"/>
    </format>
    <format dxfId="495">
      <pivotArea dataOnly="0" labelOnly="1" fieldPosition="0">
        <references count="1">
          <reference field="0" count="0"/>
        </references>
      </pivotArea>
    </format>
    <format dxfId="494">
      <pivotArea dataOnly="0" labelOnly="1" grandRow="1" outline="0" fieldPosition="0"/>
    </format>
    <format dxfId="493">
      <pivotArea dataOnly="0" labelOnly="1" outline="0" axis="axisValues" fieldPosition="0"/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outline="0" axis="axisValues" fieldPosition="0"/>
    </format>
    <format dxfId="488">
      <pivotArea dataOnly="0" labelOnly="1" fieldPosition="0">
        <references count="1">
          <reference field="0" count="0"/>
        </references>
      </pivotArea>
    </format>
    <format dxfId="487">
      <pivotArea dataOnly="0" labelOnly="1" grandRow="1" outline="0" fieldPosition="0"/>
    </format>
    <format dxfId="48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field="0" type="button" dataOnly="0" labelOnly="1" outline="0" axis="axisRow" fieldPosition="0"/>
    </format>
    <format dxfId="513">
      <pivotArea dataOnly="0" labelOnly="1" outline="0" axis="axisValues" fieldPosition="0"/>
    </format>
    <format dxfId="512">
      <pivotArea dataOnly="0" labelOnly="1" fieldPosition="0">
        <references count="1">
          <reference field="0" count="0"/>
        </references>
      </pivotArea>
    </format>
    <format dxfId="511">
      <pivotArea dataOnly="0" labelOnly="1" grandRow="1" outline="0" fieldPosition="0"/>
    </format>
    <format dxfId="510">
      <pivotArea dataOnly="0" labelOnly="1" fieldPosition="0">
        <references count="2">
          <reference field="0" count="0" selected="0"/>
          <reference field="2" count="0"/>
        </references>
      </pivotArea>
    </format>
    <format dxfId="509">
      <pivotArea dataOnly="0" labelOnly="1" outline="0" axis="axisValues" fieldPosition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dataOnly="0" labelOnly="1" outline="0" axis="axisValues" fieldPosition="0"/>
    </format>
    <format dxfId="504">
      <pivotArea dataOnly="0" labelOnly="1" fieldPosition="0">
        <references count="1">
          <reference field="0" count="0"/>
        </references>
      </pivotArea>
    </format>
    <format dxfId="503">
      <pivotArea dataOnly="0" labelOnly="1" grandRow="1" outline="0" fieldPosition="0"/>
    </format>
    <format dxfId="502">
      <pivotArea dataOnly="0" labelOnly="1" fieldPosition="0">
        <references count="2">
          <reference field="0" count="0" selected="0"/>
          <reference field="2" count="0"/>
        </references>
      </pivotArea>
    </format>
    <format dxfId="50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3" type="button" dataOnly="0" labelOnly="1" outline="0"/>
    </format>
    <format dxfId="163">
      <pivotArea dataOnly="0" labelOnly="1" outline="0" axis="axisValues" fieldPosition="0"/>
    </format>
    <format dxfId="162">
      <pivotArea dataOnly="0" labelOnly="1" grandRow="1" outline="0" fieldPosition="0"/>
    </format>
    <format dxfId="161">
      <pivotArea dataOnly="0" labelOnly="1" outline="0" axis="axisValues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3" type="button" dataOnly="0" labelOnly="1" outline="0"/>
    </format>
    <format dxfId="157">
      <pivotArea dataOnly="0" labelOnly="1" outline="0" axis="axisValues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3" type="button" dataOnly="0" labelOnly="1" outline="0"/>
    </format>
    <format dxfId="150">
      <pivotArea dataOnly="0" labelOnly="1" outline="0" axis="axisValues" fieldPosition="0"/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7" type="button" dataOnly="0" labelOnly="1" outline="0" axis="axisRow" fieldPosition="0"/>
    </format>
    <format dxfId="142">
      <pivotArea dataOnly="0" labelOnly="1" fieldPosition="0">
        <references count="1">
          <reference field="7" count="0"/>
        </references>
      </pivotArea>
    </format>
    <format dxfId="141">
      <pivotArea dataOnly="0" labelOnly="1" grandRow="1" outline="0" fieldPosition="0"/>
    </format>
    <format dxfId="1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7" type="button" dataOnly="0" labelOnly="1" outline="0" axis="axisRow" fieldPosition="0"/>
    </format>
    <format dxfId="136">
      <pivotArea dataOnly="0" labelOnly="1" fieldPosition="0">
        <references count="1">
          <reference field="7" count="0"/>
        </references>
      </pivotArea>
    </format>
    <format dxfId="135">
      <pivotArea dataOnly="0" labelOnly="1" grandRow="1" outline="0" fieldPosition="0"/>
    </format>
    <format dxfId="1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3" type="button" dataOnly="0" labelOnly="1" outline="0" axis="axisRow" fieldPosition="1"/>
    </format>
    <format dxfId="200">
      <pivotArea dataOnly="0" labelOnly="1" outline="0" axis="axisValues" fieldPosition="0"/>
    </format>
    <format dxfId="199">
      <pivotArea dataOnly="0" labelOnly="1" grandRow="1" outline="0" fieldPosition="0"/>
    </format>
    <format dxfId="198">
      <pivotArea dataOnly="0" labelOnly="1" outline="0" axis="axisValues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3" type="button" dataOnly="0" labelOnly="1" outline="0" axis="axisRow" fieldPosition="1"/>
    </format>
    <format dxfId="194">
      <pivotArea dataOnly="0" labelOnly="1" outline="0" axis="axisValues" fieldPosition="0"/>
    </format>
    <format dxfId="193">
      <pivotArea dataOnly="0" labelOnly="1" grandRow="1" outline="0" fieldPosition="0"/>
    </format>
    <format dxfId="192">
      <pivotArea dataOnly="0" labelOnly="1" outline="0" axis="axisValues" fieldPosition="0"/>
    </format>
    <format dxfId="191">
      <pivotArea outline="0" collapsedLevelsAreSubtotals="1" fieldPosition="0"/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3" type="button" dataOnly="0" labelOnly="1" outline="0" axis="axisRow" fieldPosition="1"/>
    </format>
    <format dxfId="187">
      <pivotArea dataOnly="0" labelOnly="1" outline="0" axis="axisValues" fieldPosition="0"/>
    </format>
    <format dxfId="186">
      <pivotArea dataOnly="0" labelOnly="1" grandRow="1" outline="0" fieldPosition="0"/>
    </format>
    <format dxfId="185">
      <pivotArea dataOnly="0" labelOnly="1" outline="0" axis="axisValues" fieldPosition="0"/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field="7" type="button" dataOnly="0" labelOnly="1" outline="0" axis="axisRow" fieldPosition="0"/>
    </format>
    <format dxfId="181">
      <pivotArea dataOnly="0" labelOnly="1" outline="0" axis="axisValues" fieldPosition="0"/>
    </format>
    <format dxfId="180">
      <pivotArea dataOnly="0" labelOnly="1" fieldPosition="0">
        <references count="1">
          <reference field="7" count="0"/>
        </references>
      </pivotArea>
    </format>
    <format dxfId="179">
      <pivotArea dataOnly="0" labelOnly="1" grandRow="1" outline="0" fieldPosition="0"/>
    </format>
    <format dxfId="17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7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76">
      <pivotArea dataOnly="0" labelOnly="1" outline="0" axis="axisValues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Row" fieldPosition="0"/>
    </format>
    <format dxfId="172">
      <pivotArea dataOnly="0" labelOnly="1" outline="0" axis="axisValues" fieldPosition="0"/>
    </format>
    <format dxfId="171">
      <pivotArea dataOnly="0" labelOnly="1" fieldPosition="0">
        <references count="1">
          <reference field="7" count="0"/>
        </references>
      </pivotArea>
    </format>
    <format dxfId="170">
      <pivotArea dataOnly="0" labelOnly="1" grandRow="1" outline="0" fieldPosition="0"/>
    </format>
    <format dxfId="169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68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6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3" type="button" dataOnly="0" labelOnly="1" outline="0"/>
    </format>
    <format dxfId="233">
      <pivotArea dataOnly="0" labelOnly="1" outline="0" axis="axisValues" fieldPosition="0"/>
    </format>
    <format dxfId="232">
      <pivotArea dataOnly="0" labelOnly="1" grandRow="1" outline="0" fieldPosition="0"/>
    </format>
    <format dxfId="231">
      <pivotArea dataOnly="0" labelOnly="1" outline="0" axis="axisValues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field="3" type="button" dataOnly="0" labelOnly="1" outline="0"/>
    </format>
    <format dxfId="227">
      <pivotArea dataOnly="0" labelOnly="1" outline="0" axis="axisValues" fieldPosition="0"/>
    </format>
    <format dxfId="226">
      <pivotArea dataOnly="0" labelOnly="1" grandRow="1" outline="0" fieldPosition="0"/>
    </format>
    <format dxfId="225">
      <pivotArea dataOnly="0" labelOnly="1" outline="0" axis="axisValues" fieldPosition="0"/>
    </format>
    <format dxfId="224">
      <pivotArea outline="0" collapsedLevelsAreSubtotals="1" fieldPosition="0"/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field="3" type="button" dataOnly="0" labelOnly="1" outline="0"/>
    </format>
    <format dxfId="220">
      <pivotArea dataOnly="0" labelOnly="1" outline="0" axis="axisValues" fieldPosition="0"/>
    </format>
    <format dxfId="219">
      <pivotArea dataOnly="0" labelOnly="1" grandRow="1" outline="0" fieldPosition="0"/>
    </format>
    <format dxfId="218">
      <pivotArea dataOnly="0" labelOnly="1" outline="0" axis="axisValues" fieldPosition="0"/>
    </format>
    <format dxfId="2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7" type="button" dataOnly="0" labelOnly="1" outline="0" axis="axisPage" fieldPosition="0"/>
    </format>
    <format dxfId="212">
      <pivotArea dataOnly="0" labelOnly="1" fieldPosition="0">
        <references count="1">
          <reference field="7" count="0"/>
        </references>
      </pivotArea>
    </format>
    <format dxfId="211">
      <pivotArea dataOnly="0" labelOnly="1" grandRow="1" outline="0" fieldPosition="0"/>
    </format>
    <format dxfId="2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7" type="button" dataOnly="0" labelOnly="1" outline="0" axis="axisPage" fieldPosition="0"/>
    </format>
    <format dxfId="206">
      <pivotArea dataOnly="0" labelOnly="1" fieldPosition="0">
        <references count="1">
          <reference field="7" count="0"/>
        </references>
      </pivotArea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69">
      <pivotArea type="all" dataOnly="0" outline="0" fieldPosition="0"/>
    </format>
    <format dxfId="268">
      <pivotArea outline="0" collapsedLevelsAreSubtotals="1" fieldPosition="0"/>
    </format>
    <format dxfId="267">
      <pivotArea field="3" type="button" dataOnly="0" labelOnly="1" outline="0"/>
    </format>
    <format dxfId="266">
      <pivotArea dataOnly="0" labelOnly="1" outline="0" axis="axisValues" fieldPosition="0"/>
    </format>
    <format dxfId="265">
      <pivotArea dataOnly="0" labelOnly="1" grandRow="1" outline="0" fieldPosition="0"/>
    </format>
    <format dxfId="264">
      <pivotArea dataOnly="0" labelOnly="1" outline="0" axis="axisValues" fieldPosition="0"/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3" type="button" dataOnly="0" labelOnly="1" outline="0"/>
    </format>
    <format dxfId="260">
      <pivotArea dataOnly="0" labelOnly="1" outline="0" axis="axisValues" fieldPosition="0"/>
    </format>
    <format dxfId="259">
      <pivotArea dataOnly="0" labelOnly="1" grandRow="1" outline="0" fieldPosition="0"/>
    </format>
    <format dxfId="258">
      <pivotArea dataOnly="0" labelOnly="1" outline="0" axis="axisValues" fieldPosition="0"/>
    </format>
    <format dxfId="257">
      <pivotArea outline="0" collapsedLevelsAreSubtotals="1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3" type="button" dataOnly="0" labelOnly="1" outline="0"/>
    </format>
    <format dxfId="253">
      <pivotArea dataOnly="0" labelOnly="1" outline="0" axis="axisValues" fieldPosition="0"/>
    </format>
    <format dxfId="252">
      <pivotArea dataOnly="0" labelOnly="1" grandRow="1" outline="0" fieldPosition="0"/>
    </format>
    <format dxfId="251">
      <pivotArea dataOnly="0" labelOnly="1" outline="0" axis="axisValues" fieldPosition="0"/>
    </format>
    <format dxfId="2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field="6" type="button" dataOnly="0" labelOnly="1" outline="0" axis="axisRow" fieldPosition="0"/>
    </format>
    <format dxfId="245">
      <pivotArea dataOnly="0" labelOnly="1" fieldPosition="0">
        <references count="1">
          <reference field="6" count="0"/>
        </references>
      </pivotArea>
    </format>
    <format dxfId="244">
      <pivotArea dataOnly="0" labelOnly="1" grandRow="1" outline="0" fieldPosition="0"/>
    </format>
    <format dxfId="2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6" type="button" dataOnly="0" labelOnly="1" outline="0" axis="axisRow" fieldPosition="0"/>
    </format>
    <format dxfId="239">
      <pivotArea dataOnly="0" labelOnly="1" fieldPosition="0">
        <references count="1">
          <reference field="6" count="0"/>
        </references>
      </pivotArea>
    </format>
    <format dxfId="238">
      <pivotArea dataOnly="0" labelOnly="1" grandRow="1" outline="0" fieldPosition="0"/>
    </format>
    <format dxfId="2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10" type="button" dataOnly="0" labelOnly="1" outline="0" axis="axisRow" fieldPosition="0"/>
    </format>
    <format dxfId="278">
      <pivotArea dataOnly="0" labelOnly="1" fieldPosition="0">
        <references count="1">
          <reference field="10" count="0"/>
        </references>
      </pivotArea>
    </format>
    <format dxfId="277">
      <pivotArea dataOnly="0" labelOnly="1" grandRow="1" outline="0" fieldPosition="0"/>
    </format>
    <format dxfId="2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10" type="button" dataOnly="0" labelOnly="1" outline="0" axis="axisRow" fieldPosition="0"/>
    </format>
    <format dxfId="272">
      <pivotArea dataOnly="0" labelOnly="1" fieldPosition="0">
        <references count="1">
          <reference field="10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9" type="button" dataOnly="0" labelOnly="1" outline="0" axis="axisRow" fieldPosition="0"/>
    </format>
    <format dxfId="311">
      <pivotArea dataOnly="0" labelOnly="1" fieldPosition="0">
        <references count="1">
          <reference field="9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9" type="button" dataOnly="0" labelOnly="1" outline="0" axis="axisRow" fieldPosition="0"/>
    </format>
    <format dxfId="305">
      <pivotArea dataOnly="0" labelOnly="1" fieldPosition="0">
        <references count="1">
          <reference field="9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34">
      <pivotArea outline="0" collapsedLevelsAreSubtotals="1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1" type="button" dataOnly="0" labelOnly="1" outline="0" axis="axisRow" fieldPosition="0"/>
    </format>
    <format dxfId="30">
      <pivotArea dataOnly="0" labelOnly="1" outline="0" axis="axisValues" fieldPosition="0"/>
    </format>
    <format dxfId="2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8">
      <pivotArea dataOnly="0" labelOnly="1" grandRow="1" outline="0" fieldPosition="0"/>
    </format>
    <format dxfId="27">
      <pivotArea dataOnly="0" labelOnly="1" outline="0" axis="axisValues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outline="0" axis="axisValues" fieldPosition="0"/>
    </format>
    <format dxfId="2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1" type="button" dataOnly="0" labelOnly="1" outline="0" axis="axisRow" fieldPosition="0"/>
    </format>
    <format dxfId="16">
      <pivotArea dataOnly="0" labelOnly="1" outline="0" axis="axisValues" fieldPosition="0"/>
    </format>
    <format dxfId="1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4">
      <pivotArea dataOnly="0" labelOnly="1" grandRow="1" outline="0" fieldPosition="0"/>
    </format>
    <format dxfId="13">
      <pivotArea dataOnly="0" labelOnly="1" outline="0" axis="axisValues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" type="button" dataOnly="0" labelOnly="1" outline="0" axis="axisRow" fieldPosition="0"/>
    </format>
    <format dxfId="9">
      <pivotArea dataOnly="0" labelOnly="1" outline="0" axis="axisValues" fieldPosition="0"/>
    </format>
    <format dxfId="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76">
      <pivotArea outline="0" collapsedLevelsAreSubtotals="1" fieldPosition="0"/>
    </format>
    <format dxfId="75">
      <pivotArea outline="0" collapsedLevelsAreSubtotals="1" fieldPosition="0"/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1" type="button" dataOnly="0" labelOnly="1" outline="0" axis="axisRow" fieldPosition="0"/>
    </format>
    <format dxfId="6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  <format dxfId="6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0">
      <pivotArea dataOnly="0" labelOnly="1" grandRow="1" outline="0" fieldPosition="0"/>
    </format>
    <format dxfId="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1" type="button" dataOnly="0" labelOnly="1" outline="0" axis="axisRow" fieldPosition="0"/>
    </format>
    <format dxfId="5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4">
      <pivotArea dataOnly="0" labelOnly="1" grandRow="1" outline="0" fieldPosition="0"/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" type="button" dataOnly="0" labelOnly="1" outline="0" axis="axisRow" fieldPosition="0"/>
    </format>
    <format dxfId="4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8">
      <pivotArea dataOnly="0" labelOnly="1" grandRow="1" outline="0" fieldPosition="0"/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1" type="button" dataOnly="0" labelOnly="1" outline="0" axis="axisRow" fieldPosition="0"/>
    </format>
    <format dxfId="4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2">
      <pivotArea dataOnly="0" labelOnly="1" grandRow="1" outline="0" fieldPosition="0"/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1" type="button" dataOnly="0" labelOnly="1" outline="0" axis="axisRow" fieldPosition="0"/>
    </format>
    <format dxfId="3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89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1x0 | 0x1]" c="1x0 | 0x1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16">
        <i x="9" s="1"/>
        <i x="37" s="1"/>
        <i x="395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6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80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404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3" s="1" nd="1"/>
        <i x="339" s="1" nd="1"/>
        <i x="43" s="1" nd="1"/>
        <i x="1" s="1" nd="1"/>
        <i x="393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8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2" s="1" nd="1"/>
        <i x="169" s="1" nd="1"/>
        <i x="283" s="1" nd="1"/>
        <i x="370" s="1" nd="1"/>
        <i x="40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407" s="1" nd="1"/>
        <i x="168" s="1" nd="1"/>
        <i x="39" s="1" nd="1"/>
        <i x="401" s="1" nd="1"/>
        <i x="409" s="1" nd="1"/>
        <i x="179" s="1" nd="1"/>
        <i x="399" s="1" nd="1"/>
        <i x="397" s="1" nd="1"/>
        <i x="260" s="1" nd="1"/>
        <i x="406" s="1" nd="1"/>
        <i x="410" s="1" nd="1"/>
        <i x="373" s="1" nd="1"/>
        <i x="345" s="1" nd="1"/>
        <i x="190" s="1" nd="1"/>
        <i x="408" s="1" nd="1"/>
        <i x="289" s="1" nd="1"/>
        <i x="405" s="1" nd="1"/>
        <i x="191" s="1" nd="1"/>
        <i x="338" s="1" nd="1"/>
        <i x="322" s="1" nd="1"/>
        <i x="377" s="1" nd="1"/>
        <i x="319" s="1" nd="1"/>
        <i x="394" s="1" nd="1"/>
        <i x="195" s="1" nd="1"/>
        <i x="258" s="1" nd="1"/>
        <i x="353" s="1" nd="1"/>
        <i x="309" s="1" nd="1"/>
        <i x="30" s="1" nd="1"/>
        <i x="20" s="1" nd="1"/>
        <i x="392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381" s="1" nd="1"/>
        <i x="415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411" s="1" nd="1"/>
        <i x="391" s="1" nd="1"/>
        <i x="363" s="1" nd="1"/>
        <i x="412" s="1" nd="1"/>
        <i x="413" s="1" nd="1"/>
        <i x="414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7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4" nd="1"/>
        <i x="69" nd="1"/>
        <i x="102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3" nd="1"/>
        <i x="36" nd="1"/>
        <i x="105" nd="1"/>
        <i x="54" nd="1"/>
        <i x="55" nd="1"/>
        <i x="76" nd="1"/>
        <i x="44" nd="1"/>
        <i x="30" nd="1"/>
        <i x="99" nd="1"/>
        <i x="97" nd="1"/>
        <i x="100" nd="1"/>
        <i x="94" nd="1"/>
        <i x="95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1" nd="1"/>
        <i x="81" nd="1"/>
        <i x="43" nd="1"/>
        <i x="90" nd="1"/>
        <i x="89" nd="1"/>
        <i x="38" nd="1"/>
        <i x="93" nd="1"/>
        <i x="87" nd="1"/>
        <i x="79" nd="1"/>
        <i x="41" nd="1"/>
        <i x="98" nd="1"/>
        <i x="33" nd="1"/>
        <i x="35" nd="1"/>
        <i x="70" nd="1"/>
        <i x="42" nd="1"/>
        <i x="19" nd="1"/>
        <i x="28" nd="1"/>
        <i x="10" nd="1"/>
        <i x="17" nd="1"/>
        <i x="82" nd="1"/>
        <i x="96" nd="1"/>
        <i x="77" nd="1"/>
        <i x="106" nd="1"/>
        <i x="7" nd="1"/>
        <i x="92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4075" totalsRowShown="0" headerRowDxfId="357" dataDxfId="356">
  <autoFilter ref="B2:T4075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1:22:1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90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422" t="s">
        <v>3</v>
      </c>
      <c r="C2" s="1423" t="s">
        <v>1644</v>
      </c>
    </row>
    <row r="4" spans="2:12" ht="13.2">
      <c r="B4" s="1422" t="s">
        <v>266</v>
      </c>
      <c r="C4" s="1423" t="s">
        <v>3970</v>
      </c>
      <c r="D4" s="1423" t="s">
        <v>1736</v>
      </c>
      <c r="E4" s="1423" t="s">
        <v>385</v>
      </c>
      <c r="F4" s="1423" t="s">
        <v>839</v>
      </c>
      <c r="G4" s="1423" t="s">
        <v>1781</v>
      </c>
      <c r="H4" s="1423" t="s">
        <v>1782</v>
      </c>
      <c r="I4" s="1423" t="s">
        <v>1786</v>
      </c>
      <c r="J4" s="388" t="s">
        <v>1783</v>
      </c>
      <c r="K4" s="388" t="s">
        <v>1784</v>
      </c>
      <c r="L4" s="388" t="s">
        <v>1785</v>
      </c>
    </row>
    <row r="5" spans="2:12" ht="13.2">
      <c r="B5" s="1426" t="s">
        <v>2272</v>
      </c>
      <c r="C5" s="1417">
        <v>63</v>
      </c>
      <c r="D5" s="1416">
        <v>4.5913089005235905</v>
      </c>
      <c r="E5" s="1416">
        <v>-10.643500000000003</v>
      </c>
      <c r="F5" s="1416">
        <v>1.5349000000000008</v>
      </c>
      <c r="G5" s="1416">
        <v>1.5265079365079364</v>
      </c>
      <c r="H5" s="1425">
        <v>-1.0872252185993301E-2</v>
      </c>
      <c r="I5" s="1425">
        <v>0.68253968253968256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426" t="s">
        <v>2532</v>
      </c>
      <c r="C6" s="1417">
        <v>9</v>
      </c>
      <c r="D6" s="1416">
        <v>-1.0581675392670151</v>
      </c>
      <c r="E6" s="1416">
        <v>-1.3705499999999997</v>
      </c>
      <c r="F6" s="1416">
        <v>-0.68527499999999986</v>
      </c>
      <c r="G6" s="1416">
        <v>1.73</v>
      </c>
      <c r="H6" s="1425">
        <v>-7.6141666666666649E-2</v>
      </c>
      <c r="I6" s="1425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426" t="s">
        <v>1735</v>
      </c>
      <c r="C7" s="1417">
        <v>23</v>
      </c>
      <c r="D7" s="1416">
        <v>-9.7172774869109926</v>
      </c>
      <c r="E7" s="1416">
        <v>-10.54</v>
      </c>
      <c r="F7" s="1416">
        <v>-5.2302083333333318</v>
      </c>
      <c r="G7" s="1416">
        <v>2.09</v>
      </c>
      <c r="H7" s="1425">
        <v>-0.22952961672473865</v>
      </c>
      <c r="I7" s="1425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426" t="s">
        <v>1733</v>
      </c>
      <c r="C8" s="1417">
        <v>33</v>
      </c>
      <c r="D8" s="1416">
        <v>-10.555287958115183</v>
      </c>
      <c r="E8" s="1416">
        <v>-11.790300000000002</v>
      </c>
      <c r="F8" s="1416">
        <v>-5.883129797979799</v>
      </c>
      <c r="G8" s="1416">
        <v>1.9912121212121214</v>
      </c>
      <c r="H8" s="1425">
        <v>-0.17869505910882091</v>
      </c>
      <c r="I8" s="1425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426" t="s">
        <v>2849</v>
      </c>
      <c r="C9" s="1417">
        <v>63</v>
      </c>
      <c r="D9" s="1416">
        <v>-9.0452879581151748</v>
      </c>
      <c r="E9" s="1416">
        <v>-14.173250000000003</v>
      </c>
      <c r="F9" s="1416">
        <v>-2.7326499999999996</v>
      </c>
      <c r="G9" s="1416">
        <v>1.7058730158730162</v>
      </c>
      <c r="H9" s="1425">
        <v>-5.0259751773049657E-2</v>
      </c>
      <c r="I9" s="1425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426" t="s">
        <v>2332</v>
      </c>
      <c r="C10" s="1417">
        <v>26</v>
      </c>
      <c r="D10" s="1416">
        <v>0.26884816753926533</v>
      </c>
      <c r="E10" s="1416">
        <v>-0.28324999999999978</v>
      </c>
      <c r="F10" s="1416">
        <v>0.32267499999999982</v>
      </c>
      <c r="G10" s="1416">
        <v>1.1015384615384614</v>
      </c>
      <c r="H10" s="1425">
        <v>-1.9670138888888875E-3</v>
      </c>
      <c r="I10" s="1425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426" t="s">
        <v>1643</v>
      </c>
      <c r="C11" s="1417">
        <v>35</v>
      </c>
      <c r="D11" s="1416">
        <v>-3.0106282722513051</v>
      </c>
      <c r="E11" s="1416">
        <v>-6.129999999999999</v>
      </c>
      <c r="F11" s="1416">
        <v>0.12400000000000055</v>
      </c>
      <c r="G11" s="1416">
        <v>2.2642857142857133</v>
      </c>
      <c r="H11" s="1425">
        <v>-3.7378048780487796E-2</v>
      </c>
      <c r="I11" s="1425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426" t="s">
        <v>2333</v>
      </c>
      <c r="C12" s="1417">
        <v>17</v>
      </c>
      <c r="D12" s="1416">
        <v>-7.9133992987175166</v>
      </c>
      <c r="E12" s="1416">
        <v>-8.34</v>
      </c>
      <c r="F12" s="1416">
        <v>-4.2650000000000006</v>
      </c>
      <c r="G12" s="1416">
        <v>4.6647058823529415</v>
      </c>
      <c r="H12" s="1425">
        <v>-0.24667258207630877</v>
      </c>
      <c r="I12" s="1425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426" t="s">
        <v>1540</v>
      </c>
      <c r="C13" s="1417">
        <v>224</v>
      </c>
      <c r="D13" s="1416">
        <v>-10.514816753926654</v>
      </c>
      <c r="E13" s="1416">
        <v>-41.210000000000129</v>
      </c>
      <c r="F13" s="1416">
        <v>7.8835781777518692</v>
      </c>
      <c r="G13" s="1416">
        <v>9.2225892857142835</v>
      </c>
      <c r="H13" s="1425">
        <v>-2.355153219261857E-2</v>
      </c>
      <c r="I13" s="1425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426" t="s">
        <v>2915</v>
      </c>
      <c r="C14" s="1417">
        <v>19</v>
      </c>
      <c r="D14" s="1416">
        <v>-164.9350261780105</v>
      </c>
      <c r="E14" s="1416">
        <v>-168.81739999999999</v>
      </c>
      <c r="F14" s="1416">
        <v>-3.3479177745386086</v>
      </c>
      <c r="G14" s="1416">
        <v>9.189473684210526</v>
      </c>
      <c r="H14" s="1425">
        <v>-0.17757915553405001</v>
      </c>
      <c r="I14" s="1425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426" t="s">
        <v>2914</v>
      </c>
      <c r="C15" s="1417">
        <v>50</v>
      </c>
      <c r="D15" s="1416">
        <v>127.78968586387435</v>
      </c>
      <c r="E15" s="1416">
        <v>113.64529999999999</v>
      </c>
      <c r="F15" s="1416">
        <v>2.2039457443729904</v>
      </c>
      <c r="G15" s="1416">
        <v>9.9700000000000006</v>
      </c>
      <c r="H15" s="1425">
        <v>3.9132035191019744E-2</v>
      </c>
      <c r="I15" s="1425">
        <v>0.94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426" t="s">
        <v>2916</v>
      </c>
      <c r="C16" s="1417">
        <v>13</v>
      </c>
      <c r="D16" s="1416">
        <v>-5.7905759162303658</v>
      </c>
      <c r="E16" s="1416">
        <v>-5.9799999999999995</v>
      </c>
      <c r="F16" s="1416">
        <v>-1.0309999999999997</v>
      </c>
      <c r="G16" s="1416">
        <v>1.2461538461538462</v>
      </c>
      <c r="H16" s="1425">
        <v>-0.10678571428571428</v>
      </c>
      <c r="I16" s="1425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426" t="s">
        <v>1695</v>
      </c>
      <c r="C17" s="1417">
        <v>44</v>
      </c>
      <c r="D17" s="1416">
        <v>5.3654973821989405</v>
      </c>
      <c r="E17" s="1416">
        <v>-1.3172500000000005</v>
      </c>
      <c r="F17" s="1416">
        <v>-8.2642525034007125E-2</v>
      </c>
      <c r="G17" s="1416">
        <v>11.34909090909091</v>
      </c>
      <c r="H17" s="1425">
        <v>-7.7117850242960028E-4</v>
      </c>
      <c r="I17" s="1425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426" t="s">
        <v>1693</v>
      </c>
      <c r="C18" s="1417">
        <v>133</v>
      </c>
      <c r="D18" s="1416">
        <v>-119.1501047120418</v>
      </c>
      <c r="E18" s="1416">
        <v>-136.55609999999996</v>
      </c>
      <c r="F18" s="1416">
        <v>0.39007825383179201</v>
      </c>
      <c r="G18" s="1416">
        <v>21.408646616541354</v>
      </c>
      <c r="H18" s="1425">
        <v>-1.7356700810790545E-2</v>
      </c>
      <c r="I18" s="1425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426" t="s">
        <v>1696</v>
      </c>
      <c r="C19" s="1417">
        <v>14</v>
      </c>
      <c r="D19" s="1416">
        <v>-6.4263350785340281</v>
      </c>
      <c r="E19" s="1416">
        <v>-6.8395999999999972</v>
      </c>
      <c r="F19" s="1416">
        <v>0.11180093288071344</v>
      </c>
      <c r="G19" s="1416">
        <v>3.5642857142857136</v>
      </c>
      <c r="H19" s="1425">
        <v>-3.246594199458868E-2</v>
      </c>
      <c r="I19" s="1425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426" t="s">
        <v>2202</v>
      </c>
      <c r="C20" s="1417">
        <v>10</v>
      </c>
      <c r="D20" s="1416">
        <v>-7.1578534031413605</v>
      </c>
      <c r="E20" s="1416">
        <v>-7.3599999999999994</v>
      </c>
      <c r="F20" s="1416">
        <v>-0.73599999999999977</v>
      </c>
      <c r="G20" s="1416">
        <v>1.8679999999999999</v>
      </c>
      <c r="H20" s="1425">
        <v>-7.3599999999999999E-2</v>
      </c>
      <c r="I20" s="1425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426" t="s">
        <v>1769</v>
      </c>
      <c r="C21" s="1417">
        <v>35</v>
      </c>
      <c r="D21" s="1416">
        <v>-10.007748691099476</v>
      </c>
      <c r="E21" s="1416">
        <v>-11.087399999999999</v>
      </c>
      <c r="F21" s="1416">
        <v>-5.5436999999999994</v>
      </c>
      <c r="G21" s="1416">
        <v>1.6742857142857146</v>
      </c>
      <c r="H21" s="1425">
        <v>-0.15839142857142854</v>
      </c>
      <c r="I21" s="1425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426" t="s">
        <v>1734</v>
      </c>
      <c r="C22" s="1417">
        <v>123</v>
      </c>
      <c r="D22" s="1416">
        <v>102.25670157068068</v>
      </c>
      <c r="E22" s="1416">
        <v>76.903399999999976</v>
      </c>
      <c r="F22" s="1416">
        <v>1.4940411031135592</v>
      </c>
      <c r="G22" s="1416">
        <v>22.187073170731708</v>
      </c>
      <c r="H22" s="1425">
        <v>7.3432327319914899E-3</v>
      </c>
      <c r="I22" s="1425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426" t="s">
        <v>1751</v>
      </c>
      <c r="C23" s="1417">
        <v>31</v>
      </c>
      <c r="D23" s="1416">
        <v>-34.778219895287954</v>
      </c>
      <c r="E23" s="1416">
        <v>-42.445400000000006</v>
      </c>
      <c r="F23" s="1416">
        <v>-0.16024369539091321</v>
      </c>
      <c r="G23" s="1416">
        <v>2.5438709677419356</v>
      </c>
      <c r="H23" s="1425">
        <v>-9.5468735942420169E-2</v>
      </c>
      <c r="I23" s="1425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426" t="s">
        <v>1641</v>
      </c>
      <c r="C24" s="1417">
        <v>51</v>
      </c>
      <c r="D24" s="1416">
        <v>-31.429319371727747</v>
      </c>
      <c r="E24" s="1416">
        <v>-34.290000000000006</v>
      </c>
      <c r="F24" s="1416">
        <v>-0.7453333333333334</v>
      </c>
      <c r="G24" s="1416">
        <v>1.4664705882352937</v>
      </c>
      <c r="H24" s="1425">
        <v>-8.4250614250614267E-2</v>
      </c>
      <c r="I24" s="1425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426" t="s">
        <v>1694</v>
      </c>
      <c r="C25" s="1417">
        <v>20</v>
      </c>
      <c r="D25" s="1416">
        <v>-0.43554973821989185</v>
      </c>
      <c r="E25" s="1416">
        <v>-1.4999999999999976</v>
      </c>
      <c r="F25" s="1416">
        <v>-0.12234641548927228</v>
      </c>
      <c r="G25" s="1416">
        <v>2.1914999999999996</v>
      </c>
      <c r="H25" s="1425">
        <v>-1.8752344043005346E-2</v>
      </c>
      <c r="I25" s="1425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426" t="s">
        <v>3291</v>
      </c>
      <c r="C26" s="1417">
        <v>40</v>
      </c>
      <c r="D26" s="1416">
        <v>-5.659685863874345</v>
      </c>
      <c r="E26" s="1416">
        <v>-7.0700000000000012</v>
      </c>
      <c r="F26" s="1416">
        <v>0.96500000000000075</v>
      </c>
      <c r="G26" s="1416">
        <v>1.6489999999999998</v>
      </c>
      <c r="H26" s="1425">
        <v>-7.9438202247191031E-2</v>
      </c>
      <c r="I26" s="1425">
        <v>0.65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426" t="s">
        <v>2302</v>
      </c>
      <c r="C27" s="1417">
        <v>34</v>
      </c>
      <c r="D27" s="1416">
        <v>-43.963350785340324</v>
      </c>
      <c r="E27" s="1416">
        <v>-47.384999999999991</v>
      </c>
      <c r="F27" s="1416">
        <v>-0.58592857142857191</v>
      </c>
      <c r="G27" s="1416">
        <v>1.0458823529411765</v>
      </c>
      <c r="H27" s="1425">
        <v>-2.692329545454545E-2</v>
      </c>
      <c r="I27" s="1425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424" t="s">
        <v>267</v>
      </c>
      <c r="C28" s="1417">
        <v>1110</v>
      </c>
      <c r="D28" s="1416">
        <v>-241.27659301599448</v>
      </c>
      <c r="E28" s="1416">
        <v>-384.58030000000059</v>
      </c>
      <c r="F28" s="1416">
        <v>-16.121356234576972</v>
      </c>
      <c r="G28" s="1416">
        <v>8.808324324324321</v>
      </c>
      <c r="H28" s="1425">
        <v>-1.2566776263979878E-2</v>
      </c>
      <c r="I28" s="1425">
        <v>0.7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1777</v>
      </c>
      <c r="C2" s="380" t="s">
        <v>1778</v>
      </c>
      <c r="D2" s="380" t="s">
        <v>1779</v>
      </c>
      <c r="E2" s="380" t="s">
        <v>81</v>
      </c>
      <c r="F2" s="380" t="s">
        <v>255</v>
      </c>
      <c r="G2" s="380" t="s">
        <v>1780</v>
      </c>
      <c r="H2" s="380" t="s">
        <v>1752</v>
      </c>
      <c r="I2" s="380" t="s">
        <v>1776</v>
      </c>
      <c r="J2" s="380" t="s">
        <v>263</v>
      </c>
      <c r="K2" s="380" t="s">
        <v>1753</v>
      </c>
      <c r="L2" s="380" t="s">
        <v>156</v>
      </c>
      <c r="M2" s="380" t="s">
        <v>4</v>
      </c>
    </row>
    <row r="3" spans="2:13" ht="19.95" customHeight="1">
      <c r="B3" s="381" t="s">
        <v>2272</v>
      </c>
      <c r="C3" s="381" t="s">
        <v>1754</v>
      </c>
      <c r="D3" s="381" t="s">
        <v>1755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2988</v>
      </c>
    </row>
    <row r="4" spans="2:13" ht="19.95" customHeight="1">
      <c r="B4" s="381" t="s">
        <v>1735</v>
      </c>
      <c r="C4" s="381" t="s">
        <v>1754</v>
      </c>
      <c r="D4" s="381" t="s">
        <v>1755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1756</v>
      </c>
    </row>
    <row r="5" spans="2:13" ht="19.95" customHeight="1">
      <c r="B5" s="381" t="s">
        <v>1733</v>
      </c>
      <c r="C5" s="381" t="s">
        <v>1754</v>
      </c>
      <c r="D5" s="381" t="s">
        <v>1757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1758</v>
      </c>
    </row>
    <row r="6" spans="2:13" ht="19.95" customHeight="1">
      <c r="B6" s="381" t="s">
        <v>2849</v>
      </c>
      <c r="C6" s="381" t="s">
        <v>1754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2989</v>
      </c>
    </row>
    <row r="7" spans="2:13" ht="19.95" customHeight="1">
      <c r="B7" s="381" t="s">
        <v>2332</v>
      </c>
      <c r="C7" s="381" t="s">
        <v>1754</v>
      </c>
      <c r="D7" s="381" t="s">
        <v>1755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2990</v>
      </c>
    </row>
    <row r="8" spans="2:13" ht="19.95" customHeight="1">
      <c r="B8" s="381" t="s">
        <v>1643</v>
      </c>
      <c r="C8" s="381" t="s">
        <v>1754</v>
      </c>
      <c r="D8" s="381" t="s">
        <v>1759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1760</v>
      </c>
    </row>
    <row r="9" spans="2:13" ht="19.95" customHeight="1">
      <c r="B9" s="381" t="s">
        <v>1540</v>
      </c>
      <c r="C9" s="381" t="s">
        <v>1761</v>
      </c>
      <c r="D9" s="381" t="s">
        <v>1762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1763</v>
      </c>
    </row>
    <row r="10" spans="2:13" ht="19.95" customHeight="1">
      <c r="B10" s="381" t="s">
        <v>2916</v>
      </c>
      <c r="C10" s="381" t="s">
        <v>1754</v>
      </c>
      <c r="D10" s="381" t="s">
        <v>2991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2992</v>
      </c>
    </row>
    <row r="11" spans="2:13" ht="19.95" customHeight="1">
      <c r="B11" s="381" t="s">
        <v>1764</v>
      </c>
      <c r="C11" s="381" t="s">
        <v>1761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1765</v>
      </c>
    </row>
    <row r="12" spans="2:13" ht="19.95" customHeight="1">
      <c r="B12" s="381" t="s">
        <v>1693</v>
      </c>
      <c r="C12" s="381" t="s">
        <v>1761</v>
      </c>
      <c r="D12" s="381" t="s">
        <v>1766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1767</v>
      </c>
    </row>
    <row r="13" spans="2:13" ht="19.95" customHeight="1">
      <c r="B13" s="381" t="s">
        <v>1696</v>
      </c>
      <c r="C13" s="381" t="s">
        <v>1761</v>
      </c>
      <c r="D13" s="381" t="s">
        <v>1533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1768</v>
      </c>
    </row>
    <row r="14" spans="2:13" ht="19.95" customHeight="1">
      <c r="B14" s="381" t="s">
        <v>1769</v>
      </c>
      <c r="C14" s="381" t="s">
        <v>1754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1770</v>
      </c>
    </row>
    <row r="15" spans="2:13" ht="19.95" customHeight="1">
      <c r="B15" s="381" t="s">
        <v>1734</v>
      </c>
      <c r="C15" s="381" t="s">
        <v>1761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1771</v>
      </c>
    </row>
    <row r="16" spans="2:13" ht="19.95" customHeight="1">
      <c r="B16" s="381" t="s">
        <v>1734</v>
      </c>
      <c r="C16" s="381" t="s">
        <v>1761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2993</v>
      </c>
    </row>
    <row r="17" spans="2:13" ht="19.95" customHeight="1">
      <c r="B17" s="381" t="s">
        <v>1751</v>
      </c>
      <c r="C17" s="381" t="s">
        <v>1761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1772</v>
      </c>
    </row>
    <row r="18" spans="2:13" ht="19.95" customHeight="1">
      <c r="B18" s="381" t="s">
        <v>1641</v>
      </c>
      <c r="C18" s="381" t="s">
        <v>1754</v>
      </c>
      <c r="D18" s="381" t="s">
        <v>1773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1774</v>
      </c>
    </row>
    <row r="19" spans="2:13" ht="19.95" customHeight="1">
      <c r="B19" s="381" t="s">
        <v>1694</v>
      </c>
      <c r="C19" s="381" t="s">
        <v>1754</v>
      </c>
      <c r="D19" s="381" t="s">
        <v>1762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1775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422" t="s">
        <v>266</v>
      </c>
      <c r="C2" s="1423" t="s">
        <v>1230</v>
      </c>
      <c r="D2" s="1423" t="s">
        <v>385</v>
      </c>
      <c r="E2"/>
      <c r="G2" s="1422" t="s">
        <v>266</v>
      </c>
      <c r="H2" s="1423" t="s">
        <v>1230</v>
      </c>
      <c r="I2" s="1423" t="s">
        <v>385</v>
      </c>
      <c r="J2"/>
      <c r="L2" s="1422" t="s">
        <v>266</v>
      </c>
      <c r="M2" s="1423" t="s">
        <v>1230</v>
      </c>
      <c r="N2" s="1423" t="s">
        <v>385</v>
      </c>
      <c r="O2"/>
    </row>
    <row r="3" spans="2:17" ht="13.8">
      <c r="B3" s="1424" t="s">
        <v>390</v>
      </c>
      <c r="C3" s="1425">
        <v>0.86956521739130432</v>
      </c>
      <c r="D3" s="1416">
        <v>198.20314999999999</v>
      </c>
      <c r="E3"/>
      <c r="G3" s="1424">
        <v>8</v>
      </c>
      <c r="H3" s="1425">
        <v>0.75</v>
      </c>
      <c r="I3" s="1416">
        <v>-27.193049999999999</v>
      </c>
      <c r="J3"/>
      <c r="L3" s="1424" t="s">
        <v>391</v>
      </c>
      <c r="M3" s="1425">
        <v>0.91823899371069184</v>
      </c>
      <c r="N3" s="1416">
        <v>1582.6518999999989</v>
      </c>
      <c r="O3"/>
      <c r="P3" s="1423" t="s">
        <v>3970</v>
      </c>
      <c r="Q3" s="1423" t="s">
        <v>1231</v>
      </c>
    </row>
    <row r="4" spans="2:17" ht="13.8">
      <c r="B4" s="1424" t="s">
        <v>1209</v>
      </c>
      <c r="C4" s="1425">
        <v>1</v>
      </c>
      <c r="D4" s="1416">
        <v>202.51000000000002</v>
      </c>
      <c r="E4"/>
      <c r="G4" s="1424">
        <v>8.1999999999999993</v>
      </c>
      <c r="H4" s="1425">
        <v>0.6</v>
      </c>
      <c r="I4" s="1416">
        <v>-204.76870000000002</v>
      </c>
      <c r="J4"/>
      <c r="L4" s="1424" t="s">
        <v>1473</v>
      </c>
      <c r="M4" s="1425">
        <v>1</v>
      </c>
      <c r="N4" s="1416">
        <v>197.69</v>
      </c>
      <c r="O4"/>
      <c r="P4" s="1416">
        <v>219</v>
      </c>
      <c r="Q4" s="1416">
        <v>13.460665634034074</v>
      </c>
    </row>
    <row r="5" spans="2:17" ht="13.8">
      <c r="B5" s="1424" t="s">
        <v>1202</v>
      </c>
      <c r="C5" s="1425">
        <v>1</v>
      </c>
      <c r="D5" s="1416">
        <v>144.02314999999999</v>
      </c>
      <c r="E5"/>
      <c r="G5" s="1424">
        <v>8.4</v>
      </c>
      <c r="H5" s="1425">
        <v>1</v>
      </c>
      <c r="I5" s="1416">
        <v>249.8563</v>
      </c>
      <c r="J5"/>
      <c r="L5" s="1424" t="s">
        <v>4468</v>
      </c>
      <c r="M5" s="1425">
        <v>1</v>
      </c>
      <c r="N5" s="1416">
        <v>169.87855000000002</v>
      </c>
      <c r="O5"/>
    </row>
    <row r="6" spans="2:17" ht="13.8">
      <c r="B6" s="1424" t="s">
        <v>1200</v>
      </c>
      <c r="C6" s="1425">
        <v>1</v>
      </c>
      <c r="D6" s="1416">
        <v>50.82</v>
      </c>
      <c r="E6"/>
      <c r="G6" s="1424">
        <v>8.6</v>
      </c>
      <c r="H6" s="1425">
        <v>1</v>
      </c>
      <c r="I6" s="1416">
        <v>235.23</v>
      </c>
      <c r="J6"/>
      <c r="L6" s="1424" t="s">
        <v>4466</v>
      </c>
      <c r="M6" s="1425">
        <v>1</v>
      </c>
      <c r="N6" s="1416">
        <v>168.54660000000001</v>
      </c>
      <c r="O6"/>
    </row>
    <row r="7" spans="2:17" ht="13.8">
      <c r="B7" s="1424" t="s">
        <v>1199</v>
      </c>
      <c r="C7" s="1425">
        <v>1</v>
      </c>
      <c r="D7" s="1416">
        <v>40.69</v>
      </c>
      <c r="E7"/>
      <c r="G7" s="1424">
        <v>8.8000000000000007</v>
      </c>
      <c r="H7" s="1425">
        <v>0.83333333333333337</v>
      </c>
      <c r="I7" s="1416">
        <v>-178.13</v>
      </c>
      <c r="J7"/>
      <c r="L7" s="1424" t="s">
        <v>1218</v>
      </c>
      <c r="M7" s="1425">
        <v>1</v>
      </c>
      <c r="N7" s="1416">
        <v>167.35774999999998</v>
      </c>
      <c r="O7"/>
    </row>
    <row r="8" spans="2:17" ht="13.8">
      <c r="B8" s="1424" t="s">
        <v>1358</v>
      </c>
      <c r="C8" s="1425">
        <v>1</v>
      </c>
      <c r="D8" s="1416">
        <v>36.08</v>
      </c>
      <c r="E8"/>
      <c r="G8" s="1424">
        <v>9</v>
      </c>
      <c r="H8" s="1425">
        <v>0.875</v>
      </c>
      <c r="I8" s="1416">
        <v>314.36999999999995</v>
      </c>
      <c r="J8"/>
      <c r="L8" s="1424" t="s">
        <v>4467</v>
      </c>
      <c r="M8" s="1425">
        <v>1</v>
      </c>
      <c r="N8" s="1416">
        <v>152.08000000000001</v>
      </c>
      <c r="O8"/>
    </row>
    <row r="9" spans="2:17" ht="13.8">
      <c r="B9" s="1424" t="s">
        <v>1201</v>
      </c>
      <c r="C9" s="1425">
        <v>0.5</v>
      </c>
      <c r="D9" s="1416">
        <v>13.819999999999999</v>
      </c>
      <c r="E9"/>
      <c r="G9" s="1424">
        <v>9.0297787256731521</v>
      </c>
      <c r="H9" s="1425">
        <v>1</v>
      </c>
      <c r="I9" s="1416">
        <v>17.86</v>
      </c>
      <c r="J9"/>
      <c r="L9" s="1424" t="s">
        <v>4520</v>
      </c>
      <c r="M9" s="1425">
        <v>1</v>
      </c>
      <c r="N9" s="1416">
        <v>131.36000000000001</v>
      </c>
      <c r="O9"/>
    </row>
    <row r="10" spans="2:17" ht="13.8">
      <c r="B10" s="1424" t="s">
        <v>1206</v>
      </c>
      <c r="C10" s="1425">
        <v>1</v>
      </c>
      <c r="D10" s="1416">
        <v>11.46</v>
      </c>
      <c r="E10"/>
      <c r="G10" s="1424">
        <v>9.1999999999999993</v>
      </c>
      <c r="H10" s="1425">
        <v>1</v>
      </c>
      <c r="I10" s="1416">
        <v>277.10999999999996</v>
      </c>
      <c r="J10"/>
      <c r="L10" s="1424" t="s">
        <v>1220</v>
      </c>
      <c r="M10" s="1425">
        <v>1</v>
      </c>
      <c r="N10" s="1416">
        <v>120.75</v>
      </c>
      <c r="O10"/>
    </row>
    <row r="11" spans="2:17" ht="13.8">
      <c r="B11" s="1424" t="s">
        <v>1216</v>
      </c>
      <c r="C11" s="1425">
        <v>0</v>
      </c>
      <c r="D11" s="1416">
        <v>-147.32</v>
      </c>
      <c r="E11"/>
      <c r="G11" s="1424">
        <v>9.4</v>
      </c>
      <c r="H11" s="1425">
        <v>1</v>
      </c>
      <c r="I11" s="1416">
        <v>78.010000000000005</v>
      </c>
      <c r="J11"/>
      <c r="L11" s="1424" t="s">
        <v>4514</v>
      </c>
      <c r="M11" s="1425">
        <v>1</v>
      </c>
      <c r="N11" s="1416">
        <v>112.56129999999999</v>
      </c>
      <c r="O11"/>
    </row>
    <row r="12" spans="2:17" ht="13.8">
      <c r="B12" s="1424" t="s">
        <v>3765</v>
      </c>
      <c r="C12" s="1425">
        <v>0.5</v>
      </c>
      <c r="D12" s="1416">
        <v>-153.88</v>
      </c>
      <c r="E12"/>
      <c r="G12" s="1424">
        <v>9.6</v>
      </c>
      <c r="H12" s="1425">
        <v>0.75</v>
      </c>
      <c r="I12" s="1416">
        <v>-305.69</v>
      </c>
      <c r="J12"/>
      <c r="L12" s="1424" t="s">
        <v>4515</v>
      </c>
      <c r="M12" s="1425">
        <v>1</v>
      </c>
      <c r="N12" s="1416">
        <v>112.49999999999999</v>
      </c>
      <c r="O12"/>
    </row>
    <row r="13" spans="2:17" ht="13.8">
      <c r="B13" s="1424" t="s">
        <v>391</v>
      </c>
      <c r="C13" s="1425">
        <v>0.91823899371069184</v>
      </c>
      <c r="D13" s="1416">
        <v>1582.6518999999985</v>
      </c>
      <c r="E13"/>
      <c r="G13" s="1424">
        <v>9.6883567567567574</v>
      </c>
      <c r="H13" s="1425">
        <v>1</v>
      </c>
      <c r="I13" s="1416">
        <v>40.69</v>
      </c>
      <c r="J13"/>
      <c r="L13" s="1424" t="s">
        <v>4516</v>
      </c>
      <c r="M13" s="1425">
        <v>1</v>
      </c>
      <c r="N13" s="1416">
        <v>100.09</v>
      </c>
      <c r="O13"/>
    </row>
    <row r="14" spans="2:17" ht="13.8">
      <c r="B14" s="1424" t="s">
        <v>1358</v>
      </c>
      <c r="C14" s="1425">
        <v>1</v>
      </c>
      <c r="D14" s="1416">
        <v>445.88694999999996</v>
      </c>
      <c r="E14"/>
      <c r="G14" s="1424">
        <v>9.7999250018749517</v>
      </c>
      <c r="H14" s="1425">
        <v>1</v>
      </c>
      <c r="I14" s="1416">
        <v>43.48</v>
      </c>
      <c r="J14"/>
      <c r="L14" s="1424" t="s">
        <v>4517</v>
      </c>
      <c r="M14" s="1425">
        <v>1</v>
      </c>
      <c r="N14" s="1416">
        <v>98.910550000000001</v>
      </c>
      <c r="O14"/>
    </row>
    <row r="15" spans="2:17" ht="13.8">
      <c r="B15" s="1424" t="s">
        <v>1206</v>
      </c>
      <c r="C15" s="1425">
        <v>1</v>
      </c>
      <c r="D15" s="1416">
        <v>338.73985000000005</v>
      </c>
      <c r="E15"/>
      <c r="G15" s="1424">
        <v>9.8000000000000007</v>
      </c>
      <c r="H15" s="1425">
        <v>0.875</v>
      </c>
      <c r="I15" s="1416">
        <v>-92.709999999999951</v>
      </c>
      <c r="J15"/>
      <c r="L15" s="1424" t="s">
        <v>4518</v>
      </c>
      <c r="M15" s="1425">
        <v>1</v>
      </c>
      <c r="N15" s="1416">
        <v>98.800000000000011</v>
      </c>
      <c r="O15"/>
    </row>
    <row r="16" spans="2:17" ht="13.8">
      <c r="B16" s="1424" t="s">
        <v>1200</v>
      </c>
      <c r="C16" s="1425">
        <v>1</v>
      </c>
      <c r="D16" s="1416">
        <v>295.46629999999999</v>
      </c>
      <c r="E16"/>
      <c r="G16" s="1424">
        <v>10</v>
      </c>
      <c r="H16" s="1425">
        <v>1</v>
      </c>
      <c r="I16" s="1416">
        <v>415.41999999999996</v>
      </c>
      <c r="J16"/>
      <c r="L16" s="1424" t="s">
        <v>4519</v>
      </c>
      <c r="M16" s="1425">
        <v>1</v>
      </c>
      <c r="N16" s="1416">
        <v>98.75</v>
      </c>
      <c r="O16"/>
    </row>
    <row r="17" spans="2:15" ht="13.8">
      <c r="B17" s="1424" t="s">
        <v>1203</v>
      </c>
      <c r="C17" s="1425">
        <v>1</v>
      </c>
      <c r="D17" s="1416">
        <v>282.83</v>
      </c>
      <c r="E17"/>
      <c r="G17" s="1424">
        <v>10.247327524770684</v>
      </c>
      <c r="H17" s="1425">
        <v>1</v>
      </c>
      <c r="I17" s="1416">
        <v>44.96</v>
      </c>
      <c r="J17"/>
      <c r="L17" s="1424" t="s">
        <v>4521</v>
      </c>
      <c r="M17" s="1425">
        <v>1</v>
      </c>
      <c r="N17" s="1416">
        <v>79.14</v>
      </c>
      <c r="O17"/>
    </row>
    <row r="18" spans="2:15" ht="13.8">
      <c r="B18" s="1424" t="s">
        <v>1202</v>
      </c>
      <c r="C18" s="1425">
        <v>0.9</v>
      </c>
      <c r="D18" s="1416">
        <v>227.97519999999997</v>
      </c>
      <c r="E18"/>
      <c r="G18" s="1424">
        <v>10.5</v>
      </c>
      <c r="H18" s="1425">
        <v>1</v>
      </c>
      <c r="I18" s="1416">
        <v>331.99669999999998</v>
      </c>
      <c r="J18"/>
      <c r="L18" s="1424" t="s">
        <v>4522</v>
      </c>
      <c r="M18" s="1425">
        <v>0.75</v>
      </c>
      <c r="N18" s="1416">
        <v>76.031649999999999</v>
      </c>
      <c r="O18"/>
    </row>
    <row r="19" spans="2:15" ht="13.8">
      <c r="B19" s="1424" t="s">
        <v>1209</v>
      </c>
      <c r="C19" s="1425">
        <v>1</v>
      </c>
      <c r="D19" s="1416">
        <v>205.14324999999999</v>
      </c>
      <c r="E19"/>
      <c r="G19" s="1424">
        <v>11</v>
      </c>
      <c r="H19" s="1425">
        <v>1</v>
      </c>
      <c r="I19" s="1416">
        <v>348.79999999999995</v>
      </c>
      <c r="J19"/>
      <c r="L19" s="1424" t="s">
        <v>4523</v>
      </c>
      <c r="M19" s="1425">
        <v>1</v>
      </c>
      <c r="N19" s="1416">
        <v>75.16</v>
      </c>
      <c r="O19"/>
    </row>
    <row r="20" spans="2:15" ht="13.8">
      <c r="B20" s="1424" t="s">
        <v>1199</v>
      </c>
      <c r="C20" s="1425">
        <v>1</v>
      </c>
      <c r="D20" s="1416">
        <v>187.05</v>
      </c>
      <c r="E20"/>
      <c r="G20" s="1424">
        <v>11.5</v>
      </c>
      <c r="H20" s="1425">
        <v>0.66666666666666663</v>
      </c>
      <c r="I20" s="1416">
        <v>-306.43999999999994</v>
      </c>
      <c r="J20"/>
      <c r="L20" s="1424" t="s">
        <v>4524</v>
      </c>
      <c r="M20" s="1425">
        <v>0.75</v>
      </c>
      <c r="N20" s="1416">
        <v>74.274650000000008</v>
      </c>
      <c r="O20"/>
    </row>
    <row r="21" spans="2:15" ht="13.8">
      <c r="B21" s="1424" t="s">
        <v>2006</v>
      </c>
      <c r="C21" s="1425">
        <v>1</v>
      </c>
      <c r="D21" s="1416">
        <v>185.1566</v>
      </c>
      <c r="E21"/>
      <c r="G21" s="1424">
        <v>12</v>
      </c>
      <c r="H21" s="1425">
        <v>0.9</v>
      </c>
      <c r="I21" s="1416">
        <v>-157.22000000000003</v>
      </c>
      <c r="J21"/>
      <c r="L21" s="1424" t="s">
        <v>4539</v>
      </c>
      <c r="M21" s="1425">
        <v>1</v>
      </c>
      <c r="N21" s="1416">
        <v>72.260000000000005</v>
      </c>
      <c r="O21"/>
    </row>
    <row r="22" spans="2:15" ht="13.8">
      <c r="B22" s="1424" t="s">
        <v>1201</v>
      </c>
      <c r="C22" s="1425">
        <v>0.91666666666666663</v>
      </c>
      <c r="D22" s="1416">
        <v>181.63995000000003</v>
      </c>
      <c r="E22"/>
      <c r="G22" s="1424">
        <v>12.5</v>
      </c>
      <c r="H22" s="1425">
        <v>1</v>
      </c>
      <c r="I22" s="1416">
        <v>385.94319999999999</v>
      </c>
      <c r="J22"/>
      <c r="L22" s="1424" t="s">
        <v>4525</v>
      </c>
      <c r="M22" s="1425">
        <v>1</v>
      </c>
      <c r="N22" s="1416">
        <v>66.98</v>
      </c>
      <c r="O22"/>
    </row>
    <row r="23" spans="2:15" ht="13.8">
      <c r="B23" s="1424" t="s">
        <v>1212</v>
      </c>
      <c r="C23" s="1425">
        <v>1</v>
      </c>
      <c r="D23" s="1416">
        <v>159.94319999999999</v>
      </c>
      <c r="E23"/>
      <c r="G23" s="1424">
        <v>13</v>
      </c>
      <c r="H23" s="1425">
        <v>0.875</v>
      </c>
      <c r="I23" s="1416">
        <v>-199.42000000000004</v>
      </c>
      <c r="J23"/>
      <c r="L23" s="1424" t="s">
        <v>414</v>
      </c>
      <c r="M23" s="1425">
        <v>1</v>
      </c>
      <c r="N23" s="1416">
        <v>66.25</v>
      </c>
      <c r="O23"/>
    </row>
    <row r="24" spans="2:15" ht="13.8">
      <c r="B24" s="1424" t="s">
        <v>3290</v>
      </c>
      <c r="C24" s="1425">
        <v>1</v>
      </c>
      <c r="D24" s="1416">
        <v>144.3913</v>
      </c>
      <c r="E24"/>
      <c r="G24" s="1424">
        <v>13.5</v>
      </c>
      <c r="H24" s="1425">
        <v>0.90909090909090906</v>
      </c>
      <c r="I24" s="1416">
        <v>204.85999999999999</v>
      </c>
      <c r="J24"/>
      <c r="L24" s="1424" t="s">
        <v>1219</v>
      </c>
      <c r="M24" s="1425">
        <v>1</v>
      </c>
      <c r="N24" s="1416">
        <v>65.050000000000011</v>
      </c>
      <c r="O24"/>
    </row>
    <row r="25" spans="2:15" ht="13.8">
      <c r="B25" s="1424" t="s">
        <v>1216</v>
      </c>
      <c r="C25" s="1425">
        <v>1</v>
      </c>
      <c r="D25" s="1416">
        <v>137.48000000000002</v>
      </c>
      <c r="E25"/>
      <c r="G25" s="1424">
        <v>13.79</v>
      </c>
      <c r="H25" s="1425">
        <v>1</v>
      </c>
      <c r="I25" s="1416">
        <v>27.914649999999998</v>
      </c>
      <c r="J25"/>
      <c r="L25" s="1424" t="s">
        <v>4526</v>
      </c>
      <c r="M25" s="1425">
        <v>1</v>
      </c>
      <c r="N25" s="1416">
        <v>64.16</v>
      </c>
      <c r="O25"/>
    </row>
    <row r="26" spans="2:15" ht="13.8">
      <c r="B26" s="1424" t="s">
        <v>4462</v>
      </c>
      <c r="C26" s="1425">
        <v>1</v>
      </c>
      <c r="D26" s="1416">
        <v>135.31764999999999</v>
      </c>
      <c r="E26"/>
      <c r="G26" s="1424">
        <v>13.82</v>
      </c>
      <c r="H26" s="1425">
        <v>1</v>
      </c>
      <c r="I26" s="1416">
        <v>11.02</v>
      </c>
      <c r="J26"/>
      <c r="L26" s="1424" t="s">
        <v>2203</v>
      </c>
      <c r="M26" s="1425">
        <v>1</v>
      </c>
      <c r="N26" s="1416">
        <v>61.72</v>
      </c>
      <c r="O26"/>
    </row>
    <row r="27" spans="2:15" ht="13.8">
      <c r="B27" s="1424" t="s">
        <v>1208</v>
      </c>
      <c r="C27" s="1425">
        <v>0.8</v>
      </c>
      <c r="D27" s="1416">
        <v>107.86165</v>
      </c>
      <c r="E27"/>
      <c r="G27" s="1424">
        <v>14</v>
      </c>
      <c r="H27" s="1425">
        <v>0.9</v>
      </c>
      <c r="I27" s="1416">
        <v>-112.58999999999999</v>
      </c>
      <c r="J27"/>
      <c r="L27" s="1424" t="s">
        <v>1225</v>
      </c>
      <c r="M27" s="1425">
        <v>1</v>
      </c>
      <c r="N27" s="1416">
        <v>61</v>
      </c>
      <c r="O27"/>
    </row>
    <row r="28" spans="2:15" ht="13.8">
      <c r="B28" s="1424" t="s">
        <v>1204</v>
      </c>
      <c r="C28" s="1425">
        <v>1</v>
      </c>
      <c r="D28" s="1416">
        <v>101.64</v>
      </c>
      <c r="E28"/>
      <c r="G28" s="1424">
        <v>14.5</v>
      </c>
      <c r="H28" s="1425">
        <v>1</v>
      </c>
      <c r="I28" s="1416">
        <v>330.24635000000001</v>
      </c>
      <c r="J28"/>
      <c r="L28" s="1424" t="s">
        <v>4527</v>
      </c>
      <c r="M28" s="1425">
        <v>1</v>
      </c>
      <c r="N28" s="1416">
        <v>60.95</v>
      </c>
      <c r="O28"/>
    </row>
    <row r="29" spans="2:15" ht="13.8">
      <c r="B29" s="1424" t="s">
        <v>3632</v>
      </c>
      <c r="C29" s="1425">
        <v>1</v>
      </c>
      <c r="D29" s="1416">
        <v>100.09</v>
      </c>
      <c r="E29"/>
      <c r="G29" s="1424">
        <v>15</v>
      </c>
      <c r="H29" s="1425">
        <v>1</v>
      </c>
      <c r="I29" s="1416">
        <v>90.25</v>
      </c>
      <c r="J29"/>
      <c r="L29" s="1424" t="s">
        <v>4469</v>
      </c>
      <c r="M29" s="1425">
        <v>1</v>
      </c>
      <c r="N29" s="1416">
        <v>59.047649999999997</v>
      </c>
      <c r="O29"/>
    </row>
    <row r="30" spans="2:15" ht="13.8">
      <c r="B30" s="1424" t="s">
        <v>3596</v>
      </c>
      <c r="C30" s="1425">
        <v>1</v>
      </c>
      <c r="D30" s="1416">
        <v>84.08</v>
      </c>
      <c r="E30"/>
      <c r="G30" s="1424">
        <v>15.5</v>
      </c>
      <c r="H30" s="1425">
        <v>1</v>
      </c>
      <c r="I30" s="1416">
        <v>152.62055000000001</v>
      </c>
      <c r="J30"/>
      <c r="L30" s="1424" t="s">
        <v>1228</v>
      </c>
      <c r="M30" s="1425">
        <v>1</v>
      </c>
      <c r="N30" s="1416">
        <v>56.120000000000005</v>
      </c>
      <c r="O30"/>
    </row>
    <row r="31" spans="2:15" ht="13.8">
      <c r="B31" s="1424" t="s">
        <v>2124</v>
      </c>
      <c r="C31" s="1425">
        <v>1</v>
      </c>
      <c r="D31" s="1416">
        <v>61.72</v>
      </c>
      <c r="E31"/>
      <c r="G31" s="1424">
        <v>16</v>
      </c>
      <c r="H31" s="1425">
        <v>1</v>
      </c>
      <c r="I31" s="1416">
        <v>101.23984999999999</v>
      </c>
      <c r="J31"/>
      <c r="L31" s="1424" t="s">
        <v>4528</v>
      </c>
      <c r="M31" s="1425">
        <v>1</v>
      </c>
      <c r="N31" s="1416">
        <v>55.57</v>
      </c>
      <c r="O31"/>
    </row>
    <row r="32" spans="2:15" ht="13.8">
      <c r="B32" s="1424" t="s">
        <v>2064</v>
      </c>
      <c r="C32" s="1425">
        <v>1</v>
      </c>
      <c r="D32" s="1416">
        <v>53.28</v>
      </c>
      <c r="E32"/>
      <c r="G32" s="1424">
        <v>16.5</v>
      </c>
      <c r="H32" s="1425">
        <v>1</v>
      </c>
      <c r="I32" s="1416">
        <v>209.72424999999998</v>
      </c>
      <c r="J32"/>
      <c r="L32" s="1424" t="s">
        <v>1245</v>
      </c>
      <c r="M32" s="1425">
        <v>1</v>
      </c>
      <c r="N32" s="1416">
        <v>54.873249999999999</v>
      </c>
      <c r="O32"/>
    </row>
    <row r="33" spans="2:15" ht="13.8">
      <c r="B33" s="1424" t="s">
        <v>2918</v>
      </c>
      <c r="C33" s="1425">
        <v>1</v>
      </c>
      <c r="D33" s="1416">
        <v>51.85</v>
      </c>
      <c r="E33"/>
      <c r="G33" s="1424">
        <v>17</v>
      </c>
      <c r="H33" s="1425">
        <v>1</v>
      </c>
      <c r="I33" s="1416">
        <v>44.69</v>
      </c>
      <c r="J33"/>
      <c r="L33" s="1424" t="s">
        <v>1532</v>
      </c>
      <c r="M33" s="1425">
        <v>1</v>
      </c>
      <c r="N33" s="1416">
        <v>53.4</v>
      </c>
      <c r="O33"/>
    </row>
    <row r="34" spans="2:15" ht="13.8">
      <c r="B34" s="1424" t="s">
        <v>2404</v>
      </c>
      <c r="C34" s="1425">
        <v>1</v>
      </c>
      <c r="D34" s="1416">
        <v>50.93</v>
      </c>
      <c r="E34"/>
      <c r="G34" s="1424">
        <v>17.5</v>
      </c>
      <c r="H34" s="1425">
        <v>0</v>
      </c>
      <c r="I34" s="1416">
        <v>-72.17</v>
      </c>
      <c r="J34"/>
      <c r="L34" s="1424" t="s">
        <v>4529</v>
      </c>
      <c r="M34" s="1425">
        <v>1</v>
      </c>
      <c r="N34" s="1416">
        <v>53.28</v>
      </c>
      <c r="O34"/>
    </row>
    <row r="35" spans="2:15" ht="13.8">
      <c r="B35" s="1424" t="s">
        <v>4463</v>
      </c>
      <c r="C35" s="1425">
        <v>1</v>
      </c>
      <c r="D35" s="1416">
        <v>43.48</v>
      </c>
      <c r="E35"/>
      <c r="G35" s="1424">
        <v>18.5</v>
      </c>
      <c r="H35" s="1425">
        <v>1</v>
      </c>
      <c r="I35" s="1416">
        <v>63.05</v>
      </c>
      <c r="J35"/>
      <c r="L35" s="1424" t="s">
        <v>4530</v>
      </c>
      <c r="M35" s="1425">
        <v>1</v>
      </c>
      <c r="N35" s="1416">
        <v>51.85</v>
      </c>
      <c r="O35"/>
    </row>
    <row r="36" spans="2:15" ht="13.8">
      <c r="B36" s="1424" t="s">
        <v>4464</v>
      </c>
      <c r="C36" s="1425">
        <v>1</v>
      </c>
      <c r="D36" s="1416">
        <v>42.5</v>
      </c>
      <c r="E36"/>
      <c r="G36" s="1424">
        <v>19</v>
      </c>
      <c r="H36" s="1425">
        <v>1</v>
      </c>
      <c r="I36" s="1416">
        <v>41.379999999999995</v>
      </c>
      <c r="J36"/>
      <c r="L36" s="1424" t="s">
        <v>4531</v>
      </c>
      <c r="M36" s="1425">
        <v>1</v>
      </c>
      <c r="N36" s="1416">
        <v>51.63</v>
      </c>
      <c r="O36"/>
    </row>
    <row r="37" spans="2:15" ht="13.8">
      <c r="B37" s="1424" t="s">
        <v>1583</v>
      </c>
      <c r="C37" s="1425">
        <v>1</v>
      </c>
      <c r="D37" s="1416">
        <v>38.770000000000003</v>
      </c>
      <c r="E37"/>
      <c r="G37" s="1424">
        <v>21</v>
      </c>
      <c r="H37" s="1425">
        <v>1</v>
      </c>
      <c r="I37" s="1416">
        <v>97.65</v>
      </c>
      <c r="J37"/>
      <c r="L37" s="1424" t="s">
        <v>4532</v>
      </c>
      <c r="M37" s="1425">
        <v>1</v>
      </c>
      <c r="N37" s="1416">
        <v>50.93</v>
      </c>
      <c r="O37"/>
    </row>
    <row r="38" spans="2:15" ht="13.8">
      <c r="B38" s="1424" t="s">
        <v>1494</v>
      </c>
      <c r="C38" s="1425">
        <v>1</v>
      </c>
      <c r="D38" s="1416">
        <v>33.85</v>
      </c>
      <c r="E38"/>
      <c r="G38" s="1424">
        <v>22</v>
      </c>
      <c r="H38" s="1425">
        <v>1</v>
      </c>
      <c r="I38" s="1416">
        <v>37.39</v>
      </c>
      <c r="J38"/>
      <c r="L38" s="1424" t="s">
        <v>4533</v>
      </c>
      <c r="M38" s="1425">
        <v>1</v>
      </c>
      <c r="N38" s="1416">
        <v>50.31</v>
      </c>
      <c r="O38"/>
    </row>
    <row r="39" spans="2:15" ht="13.8">
      <c r="B39" s="1424" t="s">
        <v>1594</v>
      </c>
      <c r="C39" s="1425">
        <v>1</v>
      </c>
      <c r="D39" s="1416">
        <v>33.619999999999997</v>
      </c>
      <c r="E39"/>
      <c r="G39" s="1424">
        <v>23</v>
      </c>
      <c r="H39" s="1425">
        <v>1</v>
      </c>
      <c r="I39" s="1416">
        <v>16.61</v>
      </c>
      <c r="J39"/>
      <c r="L39" s="1424" t="s">
        <v>1222</v>
      </c>
      <c r="M39" s="1425">
        <v>1</v>
      </c>
      <c r="N39" s="1416">
        <v>50.02</v>
      </c>
      <c r="O39"/>
    </row>
    <row r="40" spans="2:15" ht="13.8">
      <c r="B40" s="1424" t="s">
        <v>3481</v>
      </c>
      <c r="C40" s="1425">
        <v>1</v>
      </c>
      <c r="D40" s="1416">
        <v>31.83</v>
      </c>
      <c r="E40"/>
      <c r="G40" s="1424">
        <v>25</v>
      </c>
      <c r="H40" s="1425">
        <v>1</v>
      </c>
      <c r="I40" s="1416">
        <v>48.43</v>
      </c>
      <c r="J40"/>
      <c r="L40" s="1424" t="s">
        <v>4534</v>
      </c>
      <c r="M40" s="1425">
        <v>1</v>
      </c>
      <c r="N40" s="1416">
        <v>47.75</v>
      </c>
      <c r="O40"/>
    </row>
    <row r="41" spans="2:15" ht="13.8">
      <c r="B41" s="1424" t="s">
        <v>2919</v>
      </c>
      <c r="C41" s="1425">
        <v>1</v>
      </c>
      <c r="D41" s="1416">
        <v>26.82</v>
      </c>
      <c r="E41"/>
      <c r="G41" s="1424">
        <v>26</v>
      </c>
      <c r="H41" s="1425">
        <v>1</v>
      </c>
      <c r="I41" s="1416">
        <v>30.56</v>
      </c>
      <c r="J41"/>
      <c r="L41" s="1424" t="s">
        <v>4535</v>
      </c>
      <c r="M41" s="1425">
        <v>1</v>
      </c>
      <c r="N41" s="1416">
        <v>47.01</v>
      </c>
      <c r="O41"/>
    </row>
    <row r="42" spans="2:15" ht="13.8">
      <c r="B42" s="1424" t="s">
        <v>1215</v>
      </c>
      <c r="C42" s="1425">
        <v>1</v>
      </c>
      <c r="D42" s="1416">
        <v>22.48</v>
      </c>
      <c r="E42"/>
      <c r="G42" s="1424">
        <v>28</v>
      </c>
      <c r="H42" s="1425">
        <v>1</v>
      </c>
      <c r="I42" s="1416">
        <v>14.14</v>
      </c>
      <c r="J42"/>
      <c r="L42" s="1424" t="s">
        <v>4470</v>
      </c>
      <c r="M42" s="1425">
        <v>1</v>
      </c>
      <c r="N42" s="1416">
        <v>46.69</v>
      </c>
      <c r="O42"/>
    </row>
    <row r="43" spans="2:15" ht="13.8">
      <c r="B43" s="1424" t="s">
        <v>1213</v>
      </c>
      <c r="C43" s="1425">
        <v>1</v>
      </c>
      <c r="D43" s="1416">
        <v>5.0199999999999996</v>
      </c>
      <c r="E43"/>
      <c r="G43" s="1424">
        <v>29</v>
      </c>
      <c r="H43" s="1425">
        <v>1</v>
      </c>
      <c r="I43" s="1416">
        <v>14.67</v>
      </c>
      <c r="J43"/>
      <c r="L43" s="1424" t="s">
        <v>4471</v>
      </c>
      <c r="M43" s="1425">
        <v>1</v>
      </c>
      <c r="N43" s="1416">
        <v>46.58</v>
      </c>
      <c r="O43"/>
    </row>
    <row r="44" spans="2:15" ht="13.8">
      <c r="B44" s="1424" t="s">
        <v>1211</v>
      </c>
      <c r="C44" s="1425">
        <v>0</v>
      </c>
      <c r="D44" s="1416">
        <v>-1.04</v>
      </c>
      <c r="E44"/>
      <c r="G44" s="1424">
        <v>30</v>
      </c>
      <c r="H44" s="1425">
        <v>1</v>
      </c>
      <c r="I44" s="1416">
        <v>13.17</v>
      </c>
      <c r="J44"/>
      <c r="L44" s="1424" t="s">
        <v>4536</v>
      </c>
      <c r="M44" s="1425">
        <v>1</v>
      </c>
      <c r="N44" s="1416">
        <v>43.48</v>
      </c>
      <c r="O44"/>
    </row>
    <row r="45" spans="2:15" ht="13.8">
      <c r="B45" s="1424" t="s">
        <v>3289</v>
      </c>
      <c r="C45" s="1425">
        <v>0.5</v>
      </c>
      <c r="D45" s="1416">
        <v>-41.61</v>
      </c>
      <c r="E45"/>
      <c r="G45" s="1424">
        <v>34</v>
      </c>
      <c r="H45" s="1425">
        <v>1</v>
      </c>
      <c r="I45" s="1416">
        <v>11</v>
      </c>
      <c r="J45"/>
      <c r="L45" s="1424" t="s">
        <v>4537</v>
      </c>
      <c r="M45" s="1425">
        <v>1</v>
      </c>
      <c r="N45" s="1416">
        <v>43.4</v>
      </c>
      <c r="O45"/>
    </row>
    <row r="46" spans="2:15" ht="13.8">
      <c r="B46" s="1424" t="s">
        <v>3765</v>
      </c>
      <c r="C46" s="1425">
        <v>0.8</v>
      </c>
      <c r="D46" s="1416">
        <v>-101.21000000000001</v>
      </c>
      <c r="E46"/>
      <c r="G46" s="1424">
        <v>38</v>
      </c>
      <c r="H46" s="1425">
        <v>1</v>
      </c>
      <c r="I46" s="1416">
        <v>10.323550000000001</v>
      </c>
      <c r="J46"/>
      <c r="L46" s="1424" t="s">
        <v>4538</v>
      </c>
      <c r="M46" s="1425">
        <v>1</v>
      </c>
      <c r="N46" s="1416">
        <v>42.5</v>
      </c>
      <c r="O46"/>
    </row>
    <row r="47" spans="2:15" ht="13.8">
      <c r="B47" s="1424" t="s">
        <v>1207</v>
      </c>
      <c r="C47" s="1425">
        <v>0.83333333333333337</v>
      </c>
      <c r="D47" s="1416">
        <v>-135.82000000000005</v>
      </c>
      <c r="E47"/>
      <c r="G47" s="1424">
        <v>44</v>
      </c>
      <c r="H47" s="1425">
        <v>1</v>
      </c>
      <c r="I47" s="1416">
        <v>9.3000000000000007</v>
      </c>
      <c r="J47"/>
      <c r="L47" s="1424" t="s">
        <v>4540</v>
      </c>
      <c r="M47" s="1425">
        <v>1</v>
      </c>
      <c r="N47" s="1416">
        <v>40.32</v>
      </c>
      <c r="O47"/>
    </row>
    <row r="48" spans="2:15" ht="13.8">
      <c r="B48" s="1424" t="s">
        <v>3021</v>
      </c>
      <c r="C48" s="1425">
        <v>0.8</v>
      </c>
      <c r="D48" s="1416">
        <v>-232.93000000000006</v>
      </c>
      <c r="E48"/>
      <c r="G48" s="1424">
        <v>50</v>
      </c>
      <c r="H48" s="1425">
        <v>1</v>
      </c>
      <c r="I48" s="1416">
        <v>7.7927999999999997</v>
      </c>
      <c r="J48"/>
      <c r="L48" s="1424" t="s">
        <v>4541</v>
      </c>
      <c r="M48" s="1425">
        <v>1</v>
      </c>
      <c r="N48" s="1416">
        <v>40.32</v>
      </c>
      <c r="O48"/>
    </row>
    <row r="49" spans="2:15" ht="13.8">
      <c r="B49" s="1424" t="s">
        <v>2785</v>
      </c>
      <c r="C49" s="1425">
        <v>0.75</v>
      </c>
      <c r="D49" s="1416">
        <v>-308.86</v>
      </c>
      <c r="E49"/>
      <c r="G49" s="1424">
        <v>15.066348655680832</v>
      </c>
      <c r="H49" s="1425">
        <v>1</v>
      </c>
      <c r="I49" s="1416">
        <v>38.36</v>
      </c>
      <c r="J49"/>
      <c r="L49" s="1424" t="s">
        <v>4542</v>
      </c>
      <c r="M49" s="1425">
        <v>1</v>
      </c>
      <c r="N49" s="1416">
        <v>39.79</v>
      </c>
      <c r="O49"/>
    </row>
    <row r="50" spans="2:15" ht="13.8">
      <c r="B50" s="1424" t="s">
        <v>2126</v>
      </c>
      <c r="C50" s="1425">
        <v>0.75</v>
      </c>
      <c r="D50" s="1416">
        <v>-312.54000000000002</v>
      </c>
      <c r="E50"/>
      <c r="G50" s="1424">
        <v>8.2190371887053004</v>
      </c>
      <c r="H50" s="1425">
        <v>1</v>
      </c>
      <c r="I50" s="1416">
        <v>55.57</v>
      </c>
      <c r="J50"/>
      <c r="L50" s="1424" t="s">
        <v>4543</v>
      </c>
      <c r="M50" s="1425">
        <v>1</v>
      </c>
      <c r="N50" s="1416">
        <v>38.770000000000003</v>
      </c>
      <c r="O50"/>
    </row>
    <row r="51" spans="2:15" ht="13.8">
      <c r="B51" s="1424" t="s">
        <v>1205</v>
      </c>
      <c r="C51" s="1425">
        <v>0.5</v>
      </c>
      <c r="D51" s="1416">
        <v>-328.89</v>
      </c>
      <c r="E51"/>
      <c r="G51" s="1424">
        <v>10.525</v>
      </c>
      <c r="H51" s="1425">
        <v>1</v>
      </c>
      <c r="I51" s="1416">
        <v>40.11</v>
      </c>
      <c r="J51"/>
      <c r="L51" s="1424" t="s">
        <v>4544</v>
      </c>
      <c r="M51" s="1425">
        <v>1</v>
      </c>
      <c r="N51" s="1416">
        <v>37.07</v>
      </c>
      <c r="O51"/>
    </row>
    <row r="52" spans="2:15" ht="13.8">
      <c r="B52" s="1424" t="s">
        <v>1436</v>
      </c>
      <c r="C52" s="1425">
        <v>0.5</v>
      </c>
      <c r="D52" s="1416">
        <v>-371.33000000000004</v>
      </c>
      <c r="E52"/>
      <c r="G52" s="1424" t="s">
        <v>267</v>
      </c>
      <c r="H52" s="1425">
        <v>0.9269406392694064</v>
      </c>
      <c r="I52" s="1416">
        <v>2849.4664499999994</v>
      </c>
      <c r="J52"/>
      <c r="L52" s="1424" t="s">
        <v>1248</v>
      </c>
      <c r="M52" s="1425">
        <v>1</v>
      </c>
      <c r="N52" s="1416">
        <v>36.29</v>
      </c>
      <c r="O52"/>
    </row>
    <row r="53" spans="2:15" ht="13.8">
      <c r="B53" s="1424" t="s">
        <v>3631</v>
      </c>
      <c r="C53" s="1425">
        <v>0</v>
      </c>
      <c r="D53" s="1416">
        <v>-399.96</v>
      </c>
      <c r="E53"/>
      <c r="G53"/>
      <c r="H53"/>
      <c r="I53"/>
      <c r="J53"/>
      <c r="L53" s="1424" t="s">
        <v>4545</v>
      </c>
      <c r="M53" s="1425">
        <v>1</v>
      </c>
      <c r="N53" s="1416">
        <v>36.130000000000003</v>
      </c>
      <c r="O53"/>
    </row>
    <row r="54" spans="2:15" ht="13.8">
      <c r="B54" s="1424" t="s">
        <v>1356</v>
      </c>
      <c r="C54" s="1425">
        <v>1</v>
      </c>
      <c r="D54" s="1416">
        <v>36.729999999999997</v>
      </c>
      <c r="G54"/>
      <c r="H54"/>
      <c r="I54"/>
      <c r="J54"/>
      <c r="L54" s="1424" t="s">
        <v>1223</v>
      </c>
      <c r="M54" s="1425">
        <v>1</v>
      </c>
      <c r="N54" s="1416">
        <v>34.659999999999997</v>
      </c>
      <c r="O54"/>
    </row>
    <row r="55" spans="2:15" ht="13.8">
      <c r="B55" s="1424" t="s">
        <v>1358</v>
      </c>
      <c r="C55" s="1425">
        <v>1</v>
      </c>
      <c r="D55" s="1416">
        <v>36.729999999999997</v>
      </c>
      <c r="G55"/>
      <c r="H55"/>
      <c r="I55"/>
      <c r="J55"/>
      <c r="L55" s="1424" t="s">
        <v>4546</v>
      </c>
      <c r="M55" s="1425">
        <v>1</v>
      </c>
      <c r="N55" s="1416">
        <v>33.85</v>
      </c>
      <c r="O55"/>
    </row>
    <row r="56" spans="2:15" ht="13.8">
      <c r="B56" s="1424" t="s">
        <v>1574</v>
      </c>
      <c r="C56" s="1425">
        <v>1</v>
      </c>
      <c r="D56" s="1416">
        <v>336.94000000000005</v>
      </c>
      <c r="G56"/>
      <c r="H56"/>
      <c r="I56"/>
      <c r="J56"/>
      <c r="L56" s="1424" t="s">
        <v>4547</v>
      </c>
      <c r="M56" s="1425">
        <v>1</v>
      </c>
      <c r="N56" s="1416">
        <v>33.619999999999997</v>
      </c>
      <c r="O56"/>
    </row>
    <row r="57" spans="2:15" ht="13.8">
      <c r="B57" s="1424" t="s">
        <v>1358</v>
      </c>
      <c r="C57" s="1425">
        <v>1</v>
      </c>
      <c r="D57" s="1416">
        <v>166.35</v>
      </c>
      <c r="G57"/>
      <c r="H57"/>
      <c r="I57"/>
      <c r="J57"/>
      <c r="L57" s="1424" t="s">
        <v>3024</v>
      </c>
      <c r="M57" s="1425">
        <v>1</v>
      </c>
      <c r="N57" s="1416">
        <v>33.08</v>
      </c>
      <c r="O57"/>
    </row>
    <row r="58" spans="2:15" ht="13.8">
      <c r="B58" s="1424" t="s">
        <v>1210</v>
      </c>
      <c r="C58" s="1425">
        <v>1</v>
      </c>
      <c r="D58" s="1416">
        <v>63.59</v>
      </c>
      <c r="E58"/>
      <c r="G58"/>
      <c r="H58"/>
      <c r="I58"/>
      <c r="J58"/>
      <c r="L58" s="1424" t="s">
        <v>1227</v>
      </c>
      <c r="M58" s="1425">
        <v>1</v>
      </c>
      <c r="N58" s="1416">
        <v>32.54</v>
      </c>
      <c r="O58"/>
    </row>
    <row r="59" spans="2:15" ht="13.8">
      <c r="B59" s="1424" t="s">
        <v>1200</v>
      </c>
      <c r="C59" s="1425">
        <v>1</v>
      </c>
      <c r="D59" s="1416">
        <v>40.32</v>
      </c>
      <c r="E59"/>
      <c r="G59"/>
      <c r="H59"/>
      <c r="I59"/>
      <c r="J59"/>
      <c r="L59" s="1424" t="s">
        <v>4548</v>
      </c>
      <c r="M59" s="1425">
        <v>1</v>
      </c>
      <c r="N59" s="1416">
        <v>31.83</v>
      </c>
      <c r="O59"/>
    </row>
    <row r="60" spans="2:15" ht="13.8">
      <c r="B60" s="1424" t="s">
        <v>2006</v>
      </c>
      <c r="C60" s="1425">
        <v>1</v>
      </c>
      <c r="D60" s="1416">
        <v>36.29</v>
      </c>
      <c r="E60"/>
      <c r="G60"/>
      <c r="H60"/>
      <c r="I60"/>
      <c r="J60"/>
      <c r="L60" s="1424" t="s">
        <v>4549</v>
      </c>
      <c r="M60" s="1425">
        <v>1</v>
      </c>
      <c r="N60" s="1416">
        <v>31.83</v>
      </c>
      <c r="O60"/>
    </row>
    <row r="61" spans="2:15" ht="13.8">
      <c r="B61" s="1424" t="s">
        <v>1207</v>
      </c>
      <c r="C61" s="1425">
        <v>1</v>
      </c>
      <c r="D61" s="1416">
        <v>30.39</v>
      </c>
      <c r="E61"/>
      <c r="G61"/>
      <c r="H61"/>
      <c r="I61"/>
      <c r="J61"/>
      <c r="L61" s="1424" t="s">
        <v>4550</v>
      </c>
      <c r="M61" s="1425">
        <v>1</v>
      </c>
      <c r="N61" s="1416">
        <v>31.553199999999997</v>
      </c>
      <c r="O61"/>
    </row>
    <row r="62" spans="2:15" ht="13.8">
      <c r="B62" s="1424" t="s">
        <v>3348</v>
      </c>
      <c r="C62" s="1425">
        <v>1</v>
      </c>
      <c r="D62" s="1416">
        <v>639.3614</v>
      </c>
      <c r="E62"/>
      <c r="G62"/>
      <c r="H62"/>
      <c r="I62"/>
      <c r="J62"/>
      <c r="L62" s="1424" t="s">
        <v>4551</v>
      </c>
      <c r="M62" s="1425">
        <v>1</v>
      </c>
      <c r="N62" s="1416">
        <v>30.56</v>
      </c>
      <c r="O62"/>
    </row>
    <row r="63" spans="2:15" ht="13.8">
      <c r="B63" s="1424" t="s">
        <v>3289</v>
      </c>
      <c r="C63" s="1425">
        <v>1</v>
      </c>
      <c r="D63" s="1416">
        <v>639.3614</v>
      </c>
      <c r="E63"/>
      <c r="G63"/>
      <c r="H63"/>
      <c r="I63"/>
      <c r="J63"/>
      <c r="L63" s="1424" t="s">
        <v>4552</v>
      </c>
      <c r="M63" s="1425">
        <v>1</v>
      </c>
      <c r="N63" s="1416">
        <v>28.65</v>
      </c>
      <c r="O63"/>
    </row>
    <row r="64" spans="2:15" ht="13.8">
      <c r="B64" s="1424" t="s">
        <v>3741</v>
      </c>
      <c r="C64" s="1425">
        <v>1</v>
      </c>
      <c r="D64" s="1416">
        <v>28.3</v>
      </c>
      <c r="E64"/>
      <c r="G64"/>
      <c r="H64"/>
      <c r="I64"/>
      <c r="J64"/>
      <c r="L64" s="1424" t="s">
        <v>3597</v>
      </c>
      <c r="M64" s="1425">
        <v>1</v>
      </c>
      <c r="N64" s="1416">
        <v>26.82</v>
      </c>
      <c r="O64"/>
    </row>
    <row r="65" spans="2:15" ht="13.8">
      <c r="B65" s="1424" t="s">
        <v>3289</v>
      </c>
      <c r="C65" s="1425">
        <v>1</v>
      </c>
      <c r="D65" s="1416">
        <v>28.3</v>
      </c>
      <c r="E65"/>
      <c r="G65"/>
      <c r="H65"/>
      <c r="I65"/>
      <c r="J65"/>
      <c r="L65" s="1424" t="s">
        <v>1558</v>
      </c>
      <c r="M65" s="1425">
        <v>1</v>
      </c>
      <c r="N65" s="1416">
        <v>24.92</v>
      </c>
      <c r="O65"/>
    </row>
    <row r="66" spans="2:15" ht="13.8">
      <c r="B66" s="1424" t="s">
        <v>267</v>
      </c>
      <c r="C66" s="1425">
        <v>0.92660550458715596</v>
      </c>
      <c r="D66" s="1416">
        <v>2822.1864500000001</v>
      </c>
      <c r="E66"/>
      <c r="G66"/>
      <c r="H66"/>
      <c r="I66"/>
      <c r="J66"/>
      <c r="L66" s="1424" t="s">
        <v>4553</v>
      </c>
      <c r="M66" s="1425">
        <v>1</v>
      </c>
      <c r="N66" s="1416">
        <v>24.64</v>
      </c>
      <c r="O66"/>
    </row>
    <row r="67" spans="2:15" ht="13.8">
      <c r="B67"/>
      <c r="C67"/>
      <c r="D67"/>
      <c r="E67"/>
      <c r="G67"/>
      <c r="H67"/>
      <c r="I67"/>
      <c r="J67"/>
      <c r="L67" s="1424" t="s">
        <v>4554</v>
      </c>
      <c r="M67" s="1425">
        <v>1</v>
      </c>
      <c r="N67" s="1416">
        <v>23.34</v>
      </c>
      <c r="O67"/>
    </row>
    <row r="68" spans="2:15" ht="13.8">
      <c r="B68"/>
      <c r="C68"/>
      <c r="D68"/>
      <c r="E68"/>
      <c r="G68"/>
      <c r="H68"/>
      <c r="I68"/>
      <c r="J68"/>
      <c r="L68" s="1424" t="s">
        <v>4555</v>
      </c>
      <c r="M68" s="1425">
        <v>1</v>
      </c>
      <c r="N68" s="1416">
        <v>17.059999999999999</v>
      </c>
      <c r="O68"/>
    </row>
    <row r="69" spans="2:15" ht="13.8">
      <c r="B69"/>
      <c r="C69"/>
      <c r="D69"/>
      <c r="E69"/>
      <c r="G69"/>
      <c r="H69"/>
      <c r="I69"/>
      <c r="J69"/>
      <c r="L69" s="1424" t="s">
        <v>1221</v>
      </c>
      <c r="M69" s="1425">
        <v>1</v>
      </c>
      <c r="N69" s="1416">
        <v>17.059999999999999</v>
      </c>
      <c r="O69"/>
    </row>
    <row r="70" spans="2:15" ht="13.8">
      <c r="B70"/>
      <c r="C70"/>
      <c r="D70"/>
      <c r="E70"/>
      <c r="G70"/>
      <c r="H70"/>
      <c r="I70"/>
      <c r="J70"/>
      <c r="L70" s="1424" t="s">
        <v>1226</v>
      </c>
      <c r="M70" s="1425">
        <v>1</v>
      </c>
      <c r="N70" s="1416">
        <v>16.73</v>
      </c>
      <c r="O70"/>
    </row>
    <row r="71" spans="2:15" ht="13.8">
      <c r="B71"/>
      <c r="C71"/>
      <c r="D71"/>
      <c r="E71"/>
      <c r="G71"/>
      <c r="H71"/>
      <c r="I71"/>
      <c r="J71"/>
      <c r="L71" s="1424" t="s">
        <v>4556</v>
      </c>
      <c r="M71" s="1425">
        <v>1</v>
      </c>
      <c r="N71" s="1416">
        <v>16.61</v>
      </c>
      <c r="O71"/>
    </row>
    <row r="72" spans="2:15" ht="13.8">
      <c r="B72"/>
      <c r="C72"/>
      <c r="D72"/>
      <c r="E72"/>
      <c r="G72"/>
      <c r="H72"/>
      <c r="I72"/>
      <c r="J72"/>
      <c r="L72" s="1424" t="s">
        <v>4559</v>
      </c>
      <c r="M72" s="1425">
        <v>0.83333333333333337</v>
      </c>
      <c r="N72" s="1416">
        <v>15.229950000000017</v>
      </c>
      <c r="O72"/>
    </row>
    <row r="73" spans="2:15" ht="13.8">
      <c r="B73"/>
      <c r="C73"/>
      <c r="D73"/>
      <c r="E73"/>
      <c r="G73"/>
      <c r="H73"/>
      <c r="I73"/>
      <c r="J73"/>
      <c r="L73" s="1424" t="s">
        <v>4557</v>
      </c>
      <c r="M73" s="1425">
        <v>1</v>
      </c>
      <c r="N73" s="1416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424" t="s">
        <v>4558</v>
      </c>
      <c r="M74" s="1425">
        <v>0</v>
      </c>
      <c r="N74" s="1416">
        <v>-1.04</v>
      </c>
      <c r="O74"/>
    </row>
    <row r="75" spans="2:15" ht="13.8">
      <c r="B75"/>
      <c r="C75"/>
      <c r="D75"/>
      <c r="E75"/>
      <c r="G75"/>
      <c r="H75"/>
      <c r="I75"/>
      <c r="J75"/>
      <c r="L75" s="1424" t="s">
        <v>4560</v>
      </c>
      <c r="M75" s="1425">
        <v>0</v>
      </c>
      <c r="N75" s="1416">
        <v>-72.17</v>
      </c>
      <c r="O75"/>
    </row>
    <row r="76" spans="2:15" ht="13.8">
      <c r="B76"/>
      <c r="C76"/>
      <c r="D76"/>
      <c r="E76"/>
      <c r="G76"/>
      <c r="H76"/>
      <c r="I76"/>
      <c r="J76"/>
      <c r="L76" s="1424" t="s">
        <v>1554</v>
      </c>
      <c r="M76" s="1425">
        <v>0.8</v>
      </c>
      <c r="N76" s="1416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424" t="s">
        <v>1387</v>
      </c>
      <c r="M77" s="1425">
        <v>0.75</v>
      </c>
      <c r="N77" s="1416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424" t="s">
        <v>4561</v>
      </c>
      <c r="M78" s="1425">
        <v>0.5</v>
      </c>
      <c r="N78" s="1416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424" t="s">
        <v>4562</v>
      </c>
      <c r="M79" s="1425">
        <v>0.5</v>
      </c>
      <c r="N79" s="1416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424" t="s">
        <v>4472</v>
      </c>
      <c r="M80" s="1425">
        <v>0</v>
      </c>
      <c r="N80" s="1416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424" t="s">
        <v>4563</v>
      </c>
      <c r="M81" s="1425">
        <v>0</v>
      </c>
      <c r="N81" s="1416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424" t="s">
        <v>4152</v>
      </c>
      <c r="M82" s="1425">
        <v>0</v>
      </c>
      <c r="N82" s="1416">
        <v>-399.98</v>
      </c>
      <c r="O82"/>
    </row>
    <row r="83" spans="2:15" ht="13.8">
      <c r="B83"/>
      <c r="C83"/>
      <c r="G83"/>
      <c r="H83"/>
      <c r="I83"/>
      <c r="J83"/>
      <c r="L83" s="1424" t="s">
        <v>4564</v>
      </c>
      <c r="M83" s="1425">
        <v>0</v>
      </c>
      <c r="N83" s="1416">
        <v>-425.04</v>
      </c>
      <c r="O83"/>
    </row>
    <row r="84" spans="2:15" ht="13.8">
      <c r="B84"/>
      <c r="C84"/>
      <c r="G84"/>
      <c r="H84"/>
      <c r="I84"/>
      <c r="J84"/>
      <c r="L84" s="1424" t="s">
        <v>1574</v>
      </c>
      <c r="M84" s="1425">
        <v>1</v>
      </c>
      <c r="N84" s="1416">
        <v>336.93999999999994</v>
      </c>
      <c r="O84"/>
    </row>
    <row r="85" spans="2:15" ht="13.8">
      <c r="B85"/>
      <c r="C85"/>
      <c r="G85"/>
      <c r="H85"/>
      <c r="I85"/>
      <c r="J85"/>
      <c r="L85" s="1424" t="s">
        <v>1532</v>
      </c>
      <c r="M85" s="1425">
        <v>1</v>
      </c>
      <c r="N85" s="1416">
        <v>78.84</v>
      </c>
      <c r="O85"/>
    </row>
    <row r="86" spans="2:15" ht="13.8">
      <c r="B86"/>
      <c r="C86"/>
      <c r="G86"/>
      <c r="H86"/>
      <c r="I86"/>
      <c r="J86"/>
      <c r="L86" s="1424" t="s">
        <v>4565</v>
      </c>
      <c r="M86" s="1425">
        <v>1</v>
      </c>
      <c r="N86" s="1416">
        <v>44.96</v>
      </c>
      <c r="O86"/>
    </row>
    <row r="87" spans="2:15" ht="13.8">
      <c r="B87"/>
      <c r="C87"/>
      <c r="G87"/>
      <c r="H87"/>
      <c r="I87"/>
      <c r="J87"/>
      <c r="L87" s="1424" t="s">
        <v>4518</v>
      </c>
      <c r="M87" s="1425">
        <v>1</v>
      </c>
      <c r="N87" s="1416">
        <v>42.55</v>
      </c>
      <c r="O87"/>
    </row>
    <row r="88" spans="2:15" ht="13.8">
      <c r="B88"/>
      <c r="C88"/>
      <c r="G88"/>
      <c r="H88"/>
      <c r="I88"/>
      <c r="J88"/>
      <c r="L88" s="1424" t="s">
        <v>2619</v>
      </c>
      <c r="M88" s="1425">
        <v>1</v>
      </c>
      <c r="N88" s="1416">
        <v>40.32</v>
      </c>
      <c r="O88"/>
    </row>
    <row r="89" spans="2:15" ht="13.8">
      <c r="B89"/>
      <c r="C89"/>
      <c r="G89"/>
      <c r="H89"/>
      <c r="I89"/>
      <c r="J89"/>
      <c r="L89" s="1424" t="s">
        <v>4566</v>
      </c>
      <c r="M89" s="1425">
        <v>1</v>
      </c>
      <c r="N89" s="1416">
        <v>36.29</v>
      </c>
      <c r="O89"/>
    </row>
    <row r="90" spans="2:15" ht="13.8">
      <c r="B90"/>
      <c r="C90"/>
      <c r="G90"/>
      <c r="H90"/>
      <c r="I90"/>
      <c r="J90"/>
      <c r="L90" s="1424" t="s">
        <v>4567</v>
      </c>
      <c r="M90" s="1425">
        <v>1</v>
      </c>
      <c r="N90" s="1416">
        <v>34.56</v>
      </c>
      <c r="O90"/>
    </row>
    <row r="91" spans="2:15" ht="13.8">
      <c r="B91"/>
      <c r="C91"/>
      <c r="G91"/>
      <c r="H91"/>
      <c r="I91"/>
      <c r="J91"/>
      <c r="L91" s="1424" t="s">
        <v>4523</v>
      </c>
      <c r="M91" s="1425">
        <v>1</v>
      </c>
      <c r="N91" s="1416">
        <v>30.39</v>
      </c>
      <c r="O91"/>
    </row>
    <row r="92" spans="2:15" ht="13.8">
      <c r="B92"/>
      <c r="C92"/>
      <c r="G92"/>
      <c r="H92"/>
      <c r="I92"/>
      <c r="J92"/>
      <c r="L92" s="1424" t="s">
        <v>4568</v>
      </c>
      <c r="M92" s="1425">
        <v>1</v>
      </c>
      <c r="N92" s="1416">
        <v>29.03</v>
      </c>
      <c r="O92"/>
    </row>
    <row r="93" spans="2:15" ht="13.8">
      <c r="B93"/>
      <c r="C93"/>
      <c r="G93"/>
      <c r="H93"/>
      <c r="I93"/>
      <c r="J93"/>
      <c r="L93" s="1424" t="s">
        <v>267</v>
      </c>
      <c r="M93" s="1425">
        <v>0.92261904761904767</v>
      </c>
      <c r="N93" s="1416">
        <v>1919.591899999999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422" t="s">
        <v>72</v>
      </c>
      <c r="C2" s="1423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422" t="s">
        <v>266</v>
      </c>
      <c r="C4" s="1423" t="s">
        <v>1230</v>
      </c>
      <c r="D4" s="1423" t="s">
        <v>839</v>
      </c>
      <c r="E4"/>
      <c r="G4" s="1413"/>
      <c r="H4" s="1413" t="s">
        <v>499</v>
      </c>
      <c r="I4" s="1413"/>
      <c r="J4" s="1413"/>
      <c r="K4"/>
      <c r="L4" s="1413" t="s">
        <v>266</v>
      </c>
      <c r="M4" s="1413" t="s">
        <v>3970</v>
      </c>
      <c r="N4" s="1413" t="s">
        <v>839</v>
      </c>
      <c r="O4"/>
    </row>
    <row r="5" spans="2:128" ht="13.8">
      <c r="B5" s="1424" t="s">
        <v>1199</v>
      </c>
      <c r="C5" s="1425">
        <v>0.83333333333333337</v>
      </c>
      <c r="D5" s="1416">
        <v>-0.16503172726249163</v>
      </c>
      <c r="E5"/>
      <c r="G5" s="1413"/>
      <c r="H5" s="1413" t="s">
        <v>626</v>
      </c>
      <c r="I5" s="1413"/>
      <c r="J5" s="1413"/>
      <c r="K5"/>
      <c r="L5" s="1427">
        <v>9.8000000000000007</v>
      </c>
      <c r="M5" s="1415">
        <v>1</v>
      </c>
      <c r="N5" s="1415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424" t="s">
        <v>1210</v>
      </c>
      <c r="C6" s="1425">
        <v>0.83333333333333337</v>
      </c>
      <c r="D6" s="1416">
        <v>0.17565935333952246</v>
      </c>
      <c r="E6"/>
      <c r="G6" s="1413" t="s">
        <v>266</v>
      </c>
      <c r="H6" s="1413" t="s">
        <v>1231</v>
      </c>
      <c r="I6" s="1413" t="s">
        <v>1230</v>
      </c>
      <c r="J6" s="1413" t="s">
        <v>839</v>
      </c>
      <c r="K6"/>
      <c r="L6" s="1427">
        <v>11</v>
      </c>
      <c r="M6" s="1415">
        <v>2</v>
      </c>
      <c r="N6" s="1415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424" t="s">
        <v>1211</v>
      </c>
      <c r="C7" s="1425">
        <v>1</v>
      </c>
      <c r="D7" s="1416">
        <v>4.3413892445582587E-2</v>
      </c>
      <c r="E7"/>
      <c r="G7" s="1426" t="s">
        <v>4105</v>
      </c>
      <c r="H7" s="1415">
        <v>17</v>
      </c>
      <c r="I7" s="1428">
        <v>1</v>
      </c>
      <c r="J7" s="1415">
        <v>5.9701492537313432E-2</v>
      </c>
      <c r="K7"/>
      <c r="L7" s="1427">
        <v>12.5</v>
      </c>
      <c r="M7" s="1415">
        <v>1</v>
      </c>
      <c r="N7" s="1415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424" t="s">
        <v>1209</v>
      </c>
      <c r="C8" s="1425">
        <v>0.8</v>
      </c>
      <c r="D8" s="1416">
        <v>0.1299090077896633</v>
      </c>
      <c r="E8"/>
      <c r="G8" s="1426" t="s">
        <v>4106</v>
      </c>
      <c r="H8" s="1415">
        <v>21</v>
      </c>
      <c r="I8" s="1428">
        <v>0.5</v>
      </c>
      <c r="J8" s="1415">
        <v>-0.4312185606521009</v>
      </c>
      <c r="K8"/>
      <c r="L8" s="1427">
        <v>13.5</v>
      </c>
      <c r="M8" s="1415">
        <v>3</v>
      </c>
      <c r="N8" s="1415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424" t="s">
        <v>1217</v>
      </c>
      <c r="C9" s="1425">
        <v>0.5</v>
      </c>
      <c r="D9" s="1416">
        <v>-4.3495555649665681E-2</v>
      </c>
      <c r="E9"/>
      <c r="G9" s="1426" t="s">
        <v>4107</v>
      </c>
      <c r="H9" s="1415">
        <v>15</v>
      </c>
      <c r="I9" s="1428">
        <v>1</v>
      </c>
      <c r="J9" s="1415">
        <v>6.8214285714285713E-2</v>
      </c>
      <c r="K9"/>
      <c r="L9" s="1427">
        <v>14</v>
      </c>
      <c r="M9" s="1415">
        <v>3</v>
      </c>
      <c r="N9" s="1415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424" t="s">
        <v>1216</v>
      </c>
      <c r="C10" s="1425">
        <v>1</v>
      </c>
      <c r="D10" s="1416">
        <v>3.6742363665440585E-2</v>
      </c>
      <c r="E10"/>
      <c r="G10" s="1426" t="s">
        <v>4108</v>
      </c>
      <c r="H10" s="1415">
        <v>21</v>
      </c>
      <c r="I10" s="1428">
        <v>1</v>
      </c>
      <c r="J10" s="1415">
        <v>4.7750000000000001E-2</v>
      </c>
      <c r="K10"/>
      <c r="L10" s="1427">
        <v>14.5</v>
      </c>
      <c r="M10" s="1415">
        <v>1</v>
      </c>
      <c r="N10" s="1415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424" t="s">
        <v>1201</v>
      </c>
      <c r="C11" s="1425">
        <v>0.75</v>
      </c>
      <c r="D11" s="1416">
        <v>-0.23308441012304315</v>
      </c>
      <c r="E11"/>
      <c r="G11" s="1426" t="s">
        <v>1245</v>
      </c>
      <c r="H11" s="1415">
        <v>21</v>
      </c>
      <c r="I11" s="1428">
        <v>1</v>
      </c>
      <c r="J11" s="1415">
        <v>4.7750000000000001E-2</v>
      </c>
      <c r="K11"/>
      <c r="L11" s="1427">
        <v>15</v>
      </c>
      <c r="M11" s="1415">
        <v>2</v>
      </c>
      <c r="N11" s="1415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424" t="s">
        <v>1212</v>
      </c>
      <c r="C12" s="1425">
        <v>1</v>
      </c>
      <c r="D12" s="1416">
        <v>0.11792173913043479</v>
      </c>
      <c r="E12"/>
      <c r="G12" s="1426" t="s">
        <v>4109</v>
      </c>
      <c r="H12" s="1415">
        <v>20.5</v>
      </c>
      <c r="I12" s="1428">
        <v>1</v>
      </c>
      <c r="J12" s="1415">
        <v>9.7988376226910895E-2</v>
      </c>
      <c r="K12"/>
      <c r="L12" s="1427">
        <v>15.5</v>
      </c>
      <c r="M12" s="1415">
        <v>3</v>
      </c>
      <c r="N12" s="1415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424" t="s">
        <v>1207</v>
      </c>
      <c r="C13" s="1425">
        <v>1</v>
      </c>
      <c r="D13" s="1416">
        <v>0.41019433426617496</v>
      </c>
      <c r="E13"/>
      <c r="G13" s="1426" t="s">
        <v>4110</v>
      </c>
      <c r="H13" s="1415">
        <v>25</v>
      </c>
      <c r="I13" s="1428">
        <v>1</v>
      </c>
      <c r="J13" s="1415">
        <v>3.9799999999999995E-2</v>
      </c>
      <c r="K13"/>
      <c r="L13" s="1427">
        <v>16</v>
      </c>
      <c r="M13" s="1415">
        <v>2</v>
      </c>
      <c r="N13" s="1415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424" t="s">
        <v>1204</v>
      </c>
      <c r="C14" s="1425">
        <v>1</v>
      </c>
      <c r="D14" s="1416">
        <v>0.10644694094218135</v>
      </c>
      <c r="E14"/>
      <c r="G14" s="1426" t="s">
        <v>4111</v>
      </c>
      <c r="H14" s="1415">
        <v>24</v>
      </c>
      <c r="I14" s="1428">
        <v>1</v>
      </c>
      <c r="J14" s="1415">
        <v>4.1521739130434776E-2</v>
      </c>
      <c r="K14"/>
      <c r="L14" s="1427">
        <v>16.34048426150121</v>
      </c>
      <c r="M14" s="1415">
        <v>1</v>
      </c>
      <c r="N14" s="1415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424" t="s">
        <v>1197</v>
      </c>
      <c r="C15" s="1425">
        <v>0.66666666666666663</v>
      </c>
      <c r="D15" s="1416">
        <v>-0.89945680977695719</v>
      </c>
      <c r="E15"/>
      <c r="G15" s="1426" t="s">
        <v>1219</v>
      </c>
      <c r="H15" s="1415">
        <v>15.5</v>
      </c>
      <c r="I15" s="1428">
        <v>1</v>
      </c>
      <c r="J15" s="1415">
        <v>6.5845267621409714E-2</v>
      </c>
      <c r="K15"/>
      <c r="L15" s="1427">
        <v>16.5</v>
      </c>
      <c r="M15" s="1415">
        <v>3</v>
      </c>
      <c r="N15" s="1415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424" t="s">
        <v>1200</v>
      </c>
      <c r="C16" s="1425">
        <v>0.75</v>
      </c>
      <c r="D16" s="1416">
        <v>-0.81564678159958848</v>
      </c>
      <c r="E16"/>
      <c r="G16" s="1426" t="s">
        <v>4415</v>
      </c>
      <c r="H16" s="1415">
        <v>30</v>
      </c>
      <c r="I16" s="1428">
        <v>1</v>
      </c>
      <c r="J16" s="1415">
        <v>3.2938178167355288E-2</v>
      </c>
      <c r="K16"/>
      <c r="L16" s="1427">
        <v>17</v>
      </c>
      <c r="M16" s="1415">
        <v>5</v>
      </c>
      <c r="N16" s="1415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424" t="s">
        <v>1205</v>
      </c>
      <c r="C17" s="1425">
        <v>1</v>
      </c>
      <c r="D17" s="1416">
        <v>5.4540605414055206E-2</v>
      </c>
      <c r="E17"/>
      <c r="G17" s="1426" t="s">
        <v>4112</v>
      </c>
      <c r="H17" s="1415">
        <v>25</v>
      </c>
      <c r="I17" s="1428">
        <v>1</v>
      </c>
      <c r="J17" s="1415">
        <v>3.9799999999999995E-2</v>
      </c>
      <c r="K17"/>
      <c r="L17" s="1427">
        <v>17.5</v>
      </c>
      <c r="M17" s="1415">
        <v>1</v>
      </c>
      <c r="N17" s="1415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424" t="s">
        <v>1214</v>
      </c>
      <c r="C18" s="1425">
        <v>1</v>
      </c>
      <c r="D18" s="1416">
        <v>3.9799999999999995E-2</v>
      </c>
      <c r="E18"/>
      <c r="G18" s="1426" t="s">
        <v>4113</v>
      </c>
      <c r="H18" s="1415">
        <v>23</v>
      </c>
      <c r="I18" s="1428">
        <v>1</v>
      </c>
      <c r="J18" s="1415">
        <v>4.3407679277244489E-2</v>
      </c>
      <c r="K18"/>
      <c r="L18" s="1427">
        <v>18</v>
      </c>
      <c r="M18" s="1415">
        <v>4</v>
      </c>
      <c r="N18" s="1415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424" t="s">
        <v>1206</v>
      </c>
      <c r="C19" s="1425">
        <v>1</v>
      </c>
      <c r="D19" s="1416">
        <v>0.19436153593531094</v>
      </c>
      <c r="E19"/>
      <c r="G19" s="1426" t="s">
        <v>4114</v>
      </c>
      <c r="H19" s="1415">
        <v>18</v>
      </c>
      <c r="I19" s="1428">
        <v>1</v>
      </c>
      <c r="J19" s="1415">
        <v>5.6176470588235293E-2</v>
      </c>
      <c r="K19"/>
      <c r="L19" s="1427">
        <v>18.5</v>
      </c>
      <c r="M19" s="1415">
        <v>4</v>
      </c>
      <c r="N19" s="1415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424" t="s">
        <v>1202</v>
      </c>
      <c r="C20" s="1425">
        <v>1</v>
      </c>
      <c r="D20" s="1416">
        <v>3.9799999999999995E-2</v>
      </c>
      <c r="E20"/>
      <c r="G20" s="1426" t="s">
        <v>2619</v>
      </c>
      <c r="H20" s="1415">
        <v>13.5</v>
      </c>
      <c r="I20" s="1428">
        <v>0</v>
      </c>
      <c r="J20" s="1415">
        <v>-1</v>
      </c>
      <c r="K20"/>
      <c r="L20" s="1427">
        <v>19</v>
      </c>
      <c r="M20" s="1415">
        <v>4</v>
      </c>
      <c r="N20" s="1415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424" t="s">
        <v>1203</v>
      </c>
      <c r="C21" s="1425">
        <v>1</v>
      </c>
      <c r="D21" s="1416">
        <v>4.401381229706746E-2</v>
      </c>
      <c r="E21"/>
      <c r="G21" s="1426" t="s">
        <v>4115</v>
      </c>
      <c r="H21" s="1415">
        <v>17</v>
      </c>
      <c r="I21" s="1428">
        <v>0</v>
      </c>
      <c r="J21" s="1415">
        <v>-0.10888515674984005</v>
      </c>
      <c r="K21"/>
      <c r="L21" s="1427">
        <v>20</v>
      </c>
      <c r="M21" s="1415">
        <v>9</v>
      </c>
      <c r="N21" s="1415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424" t="s">
        <v>1358</v>
      </c>
      <c r="C22" s="1425">
        <v>1</v>
      </c>
      <c r="D22" s="1416">
        <v>0.45531142898013915</v>
      </c>
      <c r="E22"/>
      <c r="G22" s="1426" t="s">
        <v>4116</v>
      </c>
      <c r="H22" s="1415">
        <v>13.5</v>
      </c>
      <c r="I22" s="1428">
        <v>1</v>
      </c>
      <c r="J22" s="1415">
        <v>7.640000000000001E-2</v>
      </c>
      <c r="K22"/>
      <c r="L22" s="1427">
        <v>21</v>
      </c>
      <c r="M22" s="1415">
        <v>9</v>
      </c>
      <c r="N22" s="1415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424" t="s">
        <v>1436</v>
      </c>
      <c r="C23" s="1425">
        <v>1</v>
      </c>
      <c r="D23" s="1416">
        <v>0.31103421936432646</v>
      </c>
      <c r="E23"/>
      <c r="G23" s="1426" t="s">
        <v>4117</v>
      </c>
      <c r="H23" s="1415">
        <v>22.726846363964338</v>
      </c>
      <c r="I23" s="1428">
        <v>1</v>
      </c>
      <c r="J23" s="1415">
        <v>4.401381229706746E-2</v>
      </c>
      <c r="K23"/>
      <c r="L23" s="1427">
        <v>22</v>
      </c>
      <c r="M23" s="1415">
        <v>3</v>
      </c>
      <c r="N23" s="1415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424" t="s">
        <v>2126</v>
      </c>
      <c r="C24" s="1425">
        <v>1</v>
      </c>
      <c r="D24" s="1416">
        <v>7.3455049894840474E-2</v>
      </c>
      <c r="E24"/>
      <c r="G24" s="1426" t="s">
        <v>1221</v>
      </c>
      <c r="H24" s="1415">
        <v>20.25</v>
      </c>
      <c r="I24" s="1428">
        <v>1</v>
      </c>
      <c r="J24" s="1415">
        <v>0.10128793864734323</v>
      </c>
      <c r="K24"/>
      <c r="L24" s="1427">
        <v>22.726846363964338</v>
      </c>
      <c r="M24" s="1415">
        <v>1</v>
      </c>
      <c r="N24" s="1415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424" t="s">
        <v>2404</v>
      </c>
      <c r="C25" s="1425">
        <v>1</v>
      </c>
      <c r="D25" s="1416">
        <v>0.16487394593710383</v>
      </c>
      <c r="E25"/>
      <c r="G25" s="1426" t="s">
        <v>4465</v>
      </c>
      <c r="H25" s="1415">
        <v>21</v>
      </c>
      <c r="I25" s="1428">
        <v>1</v>
      </c>
      <c r="J25" s="1415">
        <v>4.7740384615384615E-2</v>
      </c>
      <c r="K25"/>
      <c r="L25" s="1427">
        <v>23</v>
      </c>
      <c r="M25" s="1415">
        <v>9</v>
      </c>
      <c r="N25" s="1415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424" t="s">
        <v>2917</v>
      </c>
      <c r="C26" s="1425">
        <v>1</v>
      </c>
      <c r="D26" s="1416">
        <v>4.7750000000000001E-2</v>
      </c>
      <c r="E26"/>
      <c r="G26" s="1426" t="s">
        <v>4118</v>
      </c>
      <c r="H26" s="1415">
        <v>28</v>
      </c>
      <c r="I26" s="1428">
        <v>0</v>
      </c>
      <c r="J26" s="1415">
        <v>-6.6680378445084329E-2</v>
      </c>
      <c r="K26"/>
      <c r="L26" s="1427">
        <v>24</v>
      </c>
      <c r="M26" s="1415">
        <v>6</v>
      </c>
      <c r="N26" s="1415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424" t="s">
        <v>2919</v>
      </c>
      <c r="C27" s="1425">
        <v>1</v>
      </c>
      <c r="D27" s="1416">
        <v>3.2938178167355288E-2</v>
      </c>
      <c r="E27"/>
      <c r="G27" s="1426" t="s">
        <v>4119</v>
      </c>
      <c r="H27" s="1415">
        <v>23</v>
      </c>
      <c r="I27" s="1428">
        <v>1</v>
      </c>
      <c r="J27" s="1415">
        <v>4.3413892445582587E-2</v>
      </c>
      <c r="K27"/>
      <c r="L27" s="1427">
        <v>25</v>
      </c>
      <c r="M27" s="1415">
        <v>5</v>
      </c>
      <c r="N27" s="1415">
        <v>-0.84081824372412028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424" t="s">
        <v>3021</v>
      </c>
      <c r="C28" s="1425">
        <v>1</v>
      </c>
      <c r="D28" s="1416">
        <v>0.15950350672539951</v>
      </c>
      <c r="E28"/>
      <c r="G28" s="1426" t="s">
        <v>4120</v>
      </c>
      <c r="H28" s="1415">
        <v>18</v>
      </c>
      <c r="I28" s="1428">
        <v>1</v>
      </c>
      <c r="J28" s="1415">
        <v>5.6186926084189473E-2</v>
      </c>
      <c r="K28"/>
      <c r="L28" s="1427">
        <v>26</v>
      </c>
      <c r="M28" s="1415">
        <v>2</v>
      </c>
      <c r="N28" s="1415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424" t="s">
        <v>3290</v>
      </c>
      <c r="C29" s="1425">
        <v>1</v>
      </c>
      <c r="D29" s="1416">
        <v>3.8195652173913047E-2</v>
      </c>
      <c r="E29"/>
      <c r="G29" s="1426" t="s">
        <v>1223</v>
      </c>
      <c r="H29" s="1415">
        <v>20</v>
      </c>
      <c r="I29" s="1428">
        <v>1</v>
      </c>
      <c r="J29" s="1415">
        <v>5.0260014857991885E-2</v>
      </c>
      <c r="K29"/>
      <c r="L29" s="1427">
        <v>27</v>
      </c>
      <c r="M29" s="1415">
        <v>2</v>
      </c>
      <c r="N29" s="1415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424" t="s">
        <v>3631</v>
      </c>
      <c r="C30" s="1425">
        <v>1</v>
      </c>
      <c r="D30" s="1416">
        <v>8.4925864538460044E-2</v>
      </c>
      <c r="E30"/>
      <c r="G30" s="1426" t="s">
        <v>4121</v>
      </c>
      <c r="H30" s="1415">
        <v>14</v>
      </c>
      <c r="I30" s="1428">
        <v>1</v>
      </c>
      <c r="J30" s="1415">
        <v>7.3456872417011057E-2</v>
      </c>
      <c r="K30"/>
      <c r="L30" s="1427">
        <v>27.5</v>
      </c>
      <c r="M30" s="1415">
        <v>1</v>
      </c>
      <c r="N30" s="1415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424" t="s">
        <v>3632</v>
      </c>
      <c r="C31" s="1425">
        <v>0.75</v>
      </c>
      <c r="D31" s="1416">
        <v>-0.87093650317116555</v>
      </c>
      <c r="E31"/>
      <c r="G31" s="1426" t="s">
        <v>4122</v>
      </c>
      <c r="H31" s="1415">
        <v>18</v>
      </c>
      <c r="I31" s="1428">
        <v>1</v>
      </c>
      <c r="J31" s="1415">
        <v>5.6184268404846645E-2</v>
      </c>
      <c r="K31"/>
      <c r="L31" s="1427">
        <v>28</v>
      </c>
      <c r="M31" s="1415">
        <v>1</v>
      </c>
      <c r="N31" s="1415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424" t="s">
        <v>4462</v>
      </c>
      <c r="C32" s="1425">
        <v>1</v>
      </c>
      <c r="D32" s="1416">
        <v>8.0690070627336935E-2</v>
      </c>
      <c r="G32" s="1426" t="s">
        <v>4123</v>
      </c>
      <c r="H32" s="1415">
        <v>23</v>
      </c>
      <c r="I32" s="1428">
        <v>1</v>
      </c>
      <c r="J32" s="1415">
        <v>4.3409090909090911E-2</v>
      </c>
      <c r="K32"/>
      <c r="L32" s="1427">
        <v>29</v>
      </c>
      <c r="M32" s="1415">
        <v>2</v>
      </c>
      <c r="N32" s="1415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424" t="s">
        <v>4464</v>
      </c>
      <c r="C33" s="1425">
        <v>1</v>
      </c>
      <c r="D33" s="1416">
        <v>6.8206487441625649E-2</v>
      </c>
      <c r="G33" s="1426" t="s">
        <v>4124</v>
      </c>
      <c r="H33" s="1415">
        <v>27</v>
      </c>
      <c r="I33" s="1428">
        <v>0</v>
      </c>
      <c r="J33" s="1415">
        <v>-0.40886221737285566</v>
      </c>
      <c r="K33"/>
      <c r="L33" s="1427">
        <v>30</v>
      </c>
      <c r="M33" s="1415">
        <v>3</v>
      </c>
      <c r="N33" s="1415">
        <v>9.8809765434518346E-2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424" t="s">
        <v>3765</v>
      </c>
      <c r="C34" s="1425">
        <v>1</v>
      </c>
      <c r="D34" s="1416">
        <v>0.17917192370800383</v>
      </c>
      <c r="G34" s="1426" t="s">
        <v>4125</v>
      </c>
      <c r="H34" s="1415">
        <v>16.34048426150121</v>
      </c>
      <c r="I34" s="1428">
        <v>1</v>
      </c>
      <c r="J34" s="1415">
        <v>6.2348668280871669E-2</v>
      </c>
      <c r="K34"/>
      <c r="L34" s="1426" t="s">
        <v>267</v>
      </c>
      <c r="M34" s="1415">
        <v>93</v>
      </c>
      <c r="N34" s="1415">
        <v>0.13394713813035827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424" t="s">
        <v>4569</v>
      </c>
      <c r="C35" s="1425">
        <v>1</v>
      </c>
      <c r="D35" s="1416">
        <v>7.2739012929331978E-2</v>
      </c>
      <c r="G35" s="1426" t="s">
        <v>4126</v>
      </c>
      <c r="H35" s="1415">
        <v>29</v>
      </c>
      <c r="I35" s="1428">
        <v>1</v>
      </c>
      <c r="J35" s="1415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424" t="s">
        <v>267</v>
      </c>
      <c r="C36" s="1425">
        <v>0.90322580645161288</v>
      </c>
      <c r="D36" s="1416">
        <v>0.13394713813035805</v>
      </c>
      <c r="G36" s="1426" t="s">
        <v>4127</v>
      </c>
      <c r="H36" s="1415">
        <v>27</v>
      </c>
      <c r="I36" s="1428">
        <v>1</v>
      </c>
      <c r="J36" s="1415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426" t="s">
        <v>4128</v>
      </c>
      <c r="H37" s="1415">
        <v>22</v>
      </c>
      <c r="I37" s="1428">
        <v>1</v>
      </c>
      <c r="J37" s="1415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426" t="s">
        <v>4129</v>
      </c>
      <c r="H38" s="1415">
        <v>15</v>
      </c>
      <c r="I38" s="1428">
        <v>1</v>
      </c>
      <c r="J38" s="1415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426" t="s">
        <v>1246</v>
      </c>
      <c r="H39" s="1415">
        <v>21</v>
      </c>
      <c r="I39" s="1428">
        <v>1</v>
      </c>
      <c r="J39" s="1415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426" t="s">
        <v>1247</v>
      </c>
      <c r="H40" s="1415">
        <v>19</v>
      </c>
      <c r="I40" s="1428">
        <v>1</v>
      </c>
      <c r="J40" s="1415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426" t="s">
        <v>4130</v>
      </c>
      <c r="H41" s="1415">
        <v>23</v>
      </c>
      <c r="I41" s="1428">
        <v>1</v>
      </c>
      <c r="J41" s="1415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426" t="s">
        <v>4131</v>
      </c>
      <c r="H42" s="1415">
        <v>9.8000000000000007</v>
      </c>
      <c r="I42" s="1428">
        <v>0</v>
      </c>
      <c r="J42" s="1415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426" t="s">
        <v>4132</v>
      </c>
      <c r="H43" s="1415">
        <v>29</v>
      </c>
      <c r="I43" s="1428">
        <v>1</v>
      </c>
      <c r="J43" s="1415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426" t="s">
        <v>4133</v>
      </c>
      <c r="H44" s="1415">
        <v>18.5</v>
      </c>
      <c r="I44" s="1428">
        <v>1</v>
      </c>
      <c r="J44" s="1415">
        <v>5.4540605414055206E-2</v>
      </c>
      <c r="K44"/>
      <c r="L44"/>
      <c r="M44"/>
      <c r="N44"/>
      <c r="O44"/>
    </row>
    <row r="45" spans="2:64" ht="13.8">
      <c r="G45" s="1426" t="s">
        <v>4134</v>
      </c>
      <c r="H45" s="1415">
        <v>17</v>
      </c>
      <c r="I45" s="1428">
        <v>1</v>
      </c>
      <c r="J45" s="1415">
        <v>5.9687499999999998E-2</v>
      </c>
      <c r="K45"/>
      <c r="L45"/>
      <c r="M45"/>
      <c r="N45"/>
      <c r="O45"/>
    </row>
    <row r="46" spans="2:64" ht="13.8">
      <c r="G46" s="1426" t="s">
        <v>4135</v>
      </c>
      <c r="H46" s="1415">
        <v>24</v>
      </c>
      <c r="I46" s="1428">
        <v>1</v>
      </c>
      <c r="J46" s="1415">
        <v>4.1521739130434776E-2</v>
      </c>
      <c r="K46"/>
      <c r="L46"/>
      <c r="M46"/>
      <c r="N46"/>
      <c r="O46"/>
    </row>
    <row r="47" spans="2:64" ht="13.8">
      <c r="G47" s="1426" t="s">
        <v>4136</v>
      </c>
      <c r="H47" s="1415">
        <v>14.5</v>
      </c>
      <c r="I47" s="1428">
        <v>1</v>
      </c>
      <c r="J47" s="1415">
        <v>7.0754339652827777E-2</v>
      </c>
      <c r="K47"/>
      <c r="L47"/>
      <c r="M47"/>
      <c r="N47"/>
      <c r="O47"/>
    </row>
    <row r="48" spans="2:64" ht="13.8">
      <c r="G48" s="1426" t="s">
        <v>4137</v>
      </c>
      <c r="H48" s="1415">
        <v>16.5</v>
      </c>
      <c r="I48" s="1428">
        <v>1</v>
      </c>
      <c r="J48" s="1415">
        <v>6.1614376687893845E-2</v>
      </c>
      <c r="K48"/>
      <c r="L48"/>
      <c r="M48"/>
      <c r="N48"/>
      <c r="O48"/>
    </row>
    <row r="49" spans="7:15" ht="13.8">
      <c r="G49" s="1426" t="s">
        <v>4138</v>
      </c>
      <c r="H49" s="1415">
        <v>23</v>
      </c>
      <c r="I49" s="1428">
        <v>1</v>
      </c>
      <c r="J49" s="1415">
        <v>4.3388429752066117E-2</v>
      </c>
      <c r="K49"/>
      <c r="L49"/>
      <c r="M49"/>
      <c r="N49"/>
      <c r="O49"/>
    </row>
    <row r="50" spans="7:15" ht="13.8">
      <c r="G50" s="1426" t="s">
        <v>4139</v>
      </c>
      <c r="H50" s="1415">
        <v>15.5</v>
      </c>
      <c r="I50" s="1428">
        <v>1</v>
      </c>
      <c r="J50" s="1415">
        <v>0.14577195648696209</v>
      </c>
      <c r="K50"/>
      <c r="L50"/>
      <c r="M50"/>
      <c r="N50"/>
      <c r="O50"/>
    </row>
    <row r="51" spans="7:15" ht="13.8">
      <c r="G51" s="1426" t="s">
        <v>4140</v>
      </c>
      <c r="H51" s="1415">
        <v>19</v>
      </c>
      <c r="I51" s="1428">
        <v>0</v>
      </c>
      <c r="J51" s="1415">
        <v>-9.9672026237900974E-2</v>
      </c>
      <c r="K51"/>
      <c r="L51"/>
      <c r="M51"/>
      <c r="N51"/>
      <c r="O51"/>
    </row>
    <row r="52" spans="7:15" ht="13.8">
      <c r="G52" s="1426" t="s">
        <v>4141</v>
      </c>
      <c r="H52" s="1415">
        <v>24</v>
      </c>
      <c r="I52" s="1428">
        <v>1</v>
      </c>
      <c r="J52" s="1415">
        <v>4.1518339266429345E-2</v>
      </c>
      <c r="K52"/>
      <c r="L52"/>
      <c r="M52"/>
      <c r="N52"/>
      <c r="O52"/>
    </row>
    <row r="53" spans="7:15" ht="13.8">
      <c r="G53" s="1426" t="s">
        <v>4142</v>
      </c>
      <c r="H53" s="1415">
        <v>18.5</v>
      </c>
      <c r="I53" s="1428">
        <v>1</v>
      </c>
      <c r="J53" s="1415">
        <v>5.4569609281237504E-2</v>
      </c>
      <c r="K53"/>
      <c r="L53"/>
      <c r="M53"/>
      <c r="N53"/>
      <c r="O53"/>
    </row>
    <row r="54" spans="7:15" ht="13.8">
      <c r="G54" s="1426" t="s">
        <v>1248</v>
      </c>
      <c r="H54" s="1415">
        <v>19.25</v>
      </c>
      <c r="I54" s="1428">
        <v>1</v>
      </c>
      <c r="J54" s="1415">
        <v>0.10482464441028588</v>
      </c>
      <c r="K54"/>
      <c r="L54"/>
      <c r="M54"/>
      <c r="N54"/>
      <c r="O54"/>
    </row>
    <row r="55" spans="7:15" ht="13.8">
      <c r="G55" s="1426" t="s">
        <v>3136</v>
      </c>
      <c r="H55" s="1415">
        <v>17</v>
      </c>
      <c r="I55" s="1428">
        <v>1</v>
      </c>
      <c r="J55" s="1415">
        <v>5.9694364851957969E-2</v>
      </c>
      <c r="K55"/>
      <c r="L55"/>
      <c r="M55"/>
      <c r="N55"/>
      <c r="O55"/>
    </row>
    <row r="56" spans="7:15" ht="13.8">
      <c r="G56" s="1426" t="s">
        <v>1228</v>
      </c>
      <c r="H56" s="1415">
        <v>18.5</v>
      </c>
      <c r="I56" s="1428">
        <v>1</v>
      </c>
      <c r="J56" s="1415">
        <v>5.4569609281237504E-2</v>
      </c>
      <c r="K56"/>
      <c r="L56"/>
      <c r="M56"/>
      <c r="N56"/>
      <c r="O56"/>
    </row>
    <row r="57" spans="7:15" ht="13.8">
      <c r="G57" s="1426" t="s">
        <v>4143</v>
      </c>
      <c r="H57" s="1415">
        <v>23</v>
      </c>
      <c r="I57" s="1428">
        <v>1</v>
      </c>
      <c r="J57" s="1415">
        <v>4.3413892445582587E-2</v>
      </c>
      <c r="K57"/>
      <c r="L57"/>
      <c r="M57"/>
      <c r="N57"/>
      <c r="O57"/>
    </row>
    <row r="58" spans="7:15" ht="13.8">
      <c r="G58" s="1426" t="s">
        <v>4144</v>
      </c>
      <c r="H58" s="1415">
        <v>11</v>
      </c>
      <c r="I58" s="1428">
        <v>1</v>
      </c>
      <c r="J58" s="1415">
        <v>5.2939182452642064E-2</v>
      </c>
      <c r="K58"/>
      <c r="L58"/>
      <c r="M58"/>
      <c r="N58"/>
      <c r="O58"/>
    </row>
    <row r="59" spans="7:15" ht="13.8">
      <c r="G59" s="1426" t="s">
        <v>1435</v>
      </c>
      <c r="H59" s="1415">
        <v>15.5</v>
      </c>
      <c r="I59" s="1428">
        <v>0</v>
      </c>
      <c r="J59" s="1415">
        <v>-0.99997368767267469</v>
      </c>
      <c r="K59"/>
      <c r="L59"/>
      <c r="M59"/>
      <c r="N59"/>
      <c r="O59"/>
    </row>
    <row r="60" spans="7:15" ht="13.8">
      <c r="G60" s="1426" t="s">
        <v>4145</v>
      </c>
      <c r="H60" s="1415">
        <v>16.5</v>
      </c>
      <c r="I60" s="1428">
        <v>1</v>
      </c>
      <c r="J60" s="1415">
        <v>6.1611374407582936E-2</v>
      </c>
      <c r="K60"/>
      <c r="L60"/>
      <c r="M60"/>
      <c r="N60"/>
      <c r="O60"/>
    </row>
    <row r="61" spans="7:15" ht="13.8">
      <c r="G61" s="1426" t="s">
        <v>4146</v>
      </c>
      <c r="H61" s="1415">
        <v>20</v>
      </c>
      <c r="I61" s="1428">
        <v>1</v>
      </c>
      <c r="J61" s="1415">
        <v>5.0263157894736843E-2</v>
      </c>
      <c r="L61"/>
      <c r="M61"/>
      <c r="N61"/>
      <c r="O61"/>
    </row>
    <row r="62" spans="7:15" ht="13.8">
      <c r="G62" s="1426" t="s">
        <v>4147</v>
      </c>
      <c r="H62" s="1415">
        <v>20</v>
      </c>
      <c r="I62" s="1428">
        <v>1</v>
      </c>
      <c r="J62" s="1415">
        <v>5.0253720000980558E-2</v>
      </c>
      <c r="L62"/>
      <c r="M62"/>
      <c r="N62"/>
      <c r="O62"/>
    </row>
    <row r="63" spans="7:15" ht="13.8">
      <c r="G63" s="1426" t="s">
        <v>4148</v>
      </c>
      <c r="H63" s="1415">
        <v>21</v>
      </c>
      <c r="I63" s="1428">
        <v>1</v>
      </c>
      <c r="J63" s="1415">
        <v>4.7741935483870963E-2</v>
      </c>
      <c r="L63"/>
      <c r="M63"/>
      <c r="N63"/>
      <c r="O63"/>
    </row>
    <row r="64" spans="7:15" ht="13.8">
      <c r="G64" s="1426" t="s">
        <v>4149</v>
      </c>
      <c r="H64" s="1415">
        <v>12.5</v>
      </c>
      <c r="I64" s="1428">
        <v>1</v>
      </c>
      <c r="J64" s="1415">
        <v>8.3051776093507446E-2</v>
      </c>
      <c r="L64"/>
      <c r="M64"/>
      <c r="N64"/>
      <c r="O64"/>
    </row>
    <row r="65" spans="7:15" ht="13.8">
      <c r="G65" s="1426" t="s">
        <v>3597</v>
      </c>
      <c r="H65" s="1415">
        <v>17</v>
      </c>
      <c r="I65" s="1428">
        <v>1</v>
      </c>
      <c r="J65" s="1415">
        <v>5.9687499999999998E-2</v>
      </c>
      <c r="L65"/>
      <c r="M65"/>
      <c r="N65"/>
      <c r="O65"/>
    </row>
    <row r="66" spans="7:15" ht="13.8">
      <c r="G66" s="1426" t="s">
        <v>4220</v>
      </c>
      <c r="H66" s="1415">
        <v>30</v>
      </c>
      <c r="I66" s="1428">
        <v>1</v>
      </c>
      <c r="J66" s="1415">
        <v>3.2940552784404442E-2</v>
      </c>
      <c r="L66"/>
      <c r="M66"/>
      <c r="N66"/>
      <c r="O66"/>
    </row>
    <row r="67" spans="7:15" ht="13.8">
      <c r="G67" s="1426" t="s">
        <v>4150</v>
      </c>
      <c r="H67" s="1415">
        <v>15.5</v>
      </c>
      <c r="I67" s="1428">
        <v>1</v>
      </c>
      <c r="J67" s="1415">
        <v>6.5847131135488055E-2</v>
      </c>
      <c r="L67"/>
      <c r="M67"/>
      <c r="N67"/>
      <c r="O67"/>
    </row>
    <row r="68" spans="7:15" ht="13.8">
      <c r="G68" s="1426" t="s">
        <v>4151</v>
      </c>
      <c r="H68" s="1415">
        <v>22</v>
      </c>
      <c r="I68" s="1428">
        <v>1</v>
      </c>
      <c r="J68" s="1415">
        <v>4.5486354093771872E-2</v>
      </c>
      <c r="L68"/>
      <c r="M68"/>
      <c r="N68"/>
      <c r="O68"/>
    </row>
    <row r="69" spans="7:15" ht="13.8">
      <c r="G69" s="1426" t="s">
        <v>4152</v>
      </c>
      <c r="H69" s="1415">
        <v>16</v>
      </c>
      <c r="I69" s="1428">
        <v>1</v>
      </c>
      <c r="J69" s="1415">
        <v>6.3669403688248749E-2</v>
      </c>
      <c r="L69"/>
      <c r="M69"/>
      <c r="N69"/>
    </row>
    <row r="70" spans="7:15" ht="13.8">
      <c r="G70" s="1426" t="s">
        <v>4680</v>
      </c>
      <c r="H70" s="1415">
        <v>30</v>
      </c>
      <c r="I70" s="1428">
        <v>1</v>
      </c>
      <c r="J70" s="1415">
        <v>3.2931034482758616E-2</v>
      </c>
      <c r="L70"/>
      <c r="M70"/>
      <c r="N70"/>
    </row>
    <row r="71" spans="7:15" ht="13.8">
      <c r="G71" s="1426" t="s">
        <v>4403</v>
      </c>
      <c r="H71" s="1415">
        <v>19</v>
      </c>
      <c r="I71" s="1428">
        <v>1</v>
      </c>
      <c r="J71" s="1415">
        <v>5.3055305530553057E-2</v>
      </c>
      <c r="L71"/>
      <c r="M71"/>
      <c r="N71"/>
    </row>
    <row r="72" spans="7:15" ht="13.8">
      <c r="G72" s="1426" t="s">
        <v>4416</v>
      </c>
      <c r="H72" s="1415">
        <v>24</v>
      </c>
      <c r="I72" s="1428">
        <v>1</v>
      </c>
      <c r="J72" s="1415">
        <v>4.1528114608595637E-2</v>
      </c>
      <c r="L72"/>
      <c r="M72"/>
      <c r="N72"/>
    </row>
    <row r="73" spans="7:15" ht="13.8">
      <c r="G73" s="1426" t="s">
        <v>4247</v>
      </c>
      <c r="H73" s="1415">
        <v>14</v>
      </c>
      <c r="I73" s="1428">
        <v>1</v>
      </c>
      <c r="J73" s="1415">
        <v>7.3455049894840474E-2</v>
      </c>
      <c r="L73"/>
      <c r="M73"/>
      <c r="N73"/>
    </row>
    <row r="74" spans="7:15" ht="13.8">
      <c r="G74" s="1426" t="s">
        <v>4511</v>
      </c>
      <c r="H74" s="1415">
        <v>23</v>
      </c>
      <c r="I74" s="1428">
        <v>1</v>
      </c>
      <c r="J74" s="1415">
        <v>4.3414141414141412E-2</v>
      </c>
      <c r="L74"/>
      <c r="M74"/>
      <c r="N74"/>
    </row>
    <row r="75" spans="7:15" ht="13.8">
      <c r="G75" s="1426" t="s">
        <v>4153</v>
      </c>
      <c r="H75" s="1415">
        <v>27.5</v>
      </c>
      <c r="I75" s="1428">
        <v>1</v>
      </c>
      <c r="J75" s="1415">
        <v>4.7750000000000001E-2</v>
      </c>
      <c r="L75"/>
      <c r="M75"/>
      <c r="N75"/>
    </row>
    <row r="76" spans="7:15" ht="13.8">
      <c r="G76" s="1426" t="s">
        <v>4593</v>
      </c>
      <c r="H76" s="1415">
        <v>20</v>
      </c>
      <c r="I76" s="1428">
        <v>1</v>
      </c>
      <c r="J76" s="1415">
        <v>5.025628203525441E-2</v>
      </c>
      <c r="L76"/>
      <c r="M76"/>
      <c r="N76"/>
    </row>
    <row r="77" spans="7:15" ht="13.8">
      <c r="G77" s="1426" t="s">
        <v>4184</v>
      </c>
      <c r="H77" s="1415">
        <v>21</v>
      </c>
      <c r="I77" s="1428">
        <v>1</v>
      </c>
      <c r="J77" s="1415">
        <v>4.7759036144578312E-2</v>
      </c>
      <c r="L77"/>
      <c r="M77"/>
      <c r="N77"/>
    </row>
    <row r="78" spans="7:15" ht="13.8">
      <c r="G78" s="1426" t="s">
        <v>4512</v>
      </c>
      <c r="H78" s="1415">
        <v>24</v>
      </c>
      <c r="I78" s="1428">
        <v>1</v>
      </c>
      <c r="J78" s="1415">
        <v>4.1521958939640391E-2</v>
      </c>
      <c r="L78"/>
      <c r="M78"/>
      <c r="N78"/>
    </row>
    <row r="79" spans="7:15" ht="13.8">
      <c r="G79" s="1426" t="s">
        <v>4185</v>
      </c>
      <c r="H79" s="1415">
        <v>20</v>
      </c>
      <c r="I79" s="1428">
        <v>1</v>
      </c>
      <c r="J79" s="1415">
        <v>5.026990553306343E-2</v>
      </c>
      <c r="L79"/>
      <c r="M79"/>
      <c r="N79"/>
    </row>
    <row r="80" spans="7:15" ht="13.8">
      <c r="G80" s="1426" t="s">
        <v>4392</v>
      </c>
      <c r="H80" s="1415">
        <v>26</v>
      </c>
      <c r="I80" s="1428">
        <v>1</v>
      </c>
      <c r="J80" s="1415">
        <v>3.8195652173913047E-2</v>
      </c>
      <c r="L80"/>
      <c r="M80"/>
      <c r="N80"/>
    </row>
    <row r="81" spans="7:14" ht="13.8">
      <c r="G81" s="1426" t="s">
        <v>4404</v>
      </c>
      <c r="H81" s="1415">
        <v>18</v>
      </c>
      <c r="I81" s="1428">
        <v>1</v>
      </c>
      <c r="J81" s="1415">
        <v>5.6186926084189473E-2</v>
      </c>
      <c r="L81"/>
      <c r="M81"/>
      <c r="N81"/>
    </row>
    <row r="82" spans="7:14" ht="13.8">
      <c r="G82" s="1426" t="s">
        <v>4324</v>
      </c>
      <c r="H82" s="1415">
        <v>13.5</v>
      </c>
      <c r="I82" s="1428">
        <v>1</v>
      </c>
      <c r="J82" s="1415">
        <v>7.6404040404040405E-2</v>
      </c>
      <c r="L82"/>
      <c r="M82"/>
      <c r="N82"/>
    </row>
    <row r="83" spans="7:14" ht="13.8">
      <c r="G83" s="1426" t="s">
        <v>4513</v>
      </c>
      <c r="H83" s="1415">
        <v>21</v>
      </c>
      <c r="I83" s="1428">
        <v>1</v>
      </c>
      <c r="J83" s="1415">
        <v>4.7758241758241761E-2</v>
      </c>
      <c r="L83"/>
      <c r="M83"/>
      <c r="N83"/>
    </row>
    <row r="84" spans="7:14" ht="13.8">
      <c r="G84" s="1426" t="s">
        <v>4163</v>
      </c>
      <c r="H84" s="1415">
        <v>23</v>
      </c>
      <c r="I84" s="1428">
        <v>1</v>
      </c>
      <c r="J84" s="1415">
        <v>4.3404340434043405E-2</v>
      </c>
      <c r="L84"/>
      <c r="M84"/>
      <c r="N84"/>
    </row>
    <row r="85" spans="7:14" ht="13.8">
      <c r="G85" s="1426" t="s">
        <v>4186</v>
      </c>
      <c r="H85" s="1415">
        <v>26</v>
      </c>
      <c r="I85" s="1428">
        <v>1</v>
      </c>
      <c r="J85" s="1415">
        <v>3.8200000000000005E-2</v>
      </c>
      <c r="L85"/>
      <c r="M85"/>
      <c r="N85"/>
    </row>
    <row r="86" spans="7:14" ht="13.8">
      <c r="G86" s="1426" t="s">
        <v>4226</v>
      </c>
      <c r="H86" s="1415">
        <v>25</v>
      </c>
      <c r="I86" s="1428">
        <v>1</v>
      </c>
      <c r="J86" s="1415">
        <v>3.9783296130952384E-2</v>
      </c>
      <c r="L86"/>
      <c r="M86"/>
      <c r="N86"/>
    </row>
    <row r="87" spans="7:14" ht="13.8">
      <c r="G87" s="1426" t="s">
        <v>4358</v>
      </c>
      <c r="H87" s="1415">
        <v>15</v>
      </c>
      <c r="I87" s="1428">
        <v>1</v>
      </c>
      <c r="J87" s="1415">
        <v>6.8206487441625649E-2</v>
      </c>
      <c r="L87"/>
      <c r="M87"/>
      <c r="N87"/>
    </row>
    <row r="88" spans="7:14" ht="13.8">
      <c r="G88" s="1426" t="s">
        <v>4210</v>
      </c>
      <c r="H88" s="1415">
        <v>25</v>
      </c>
      <c r="I88" s="1428">
        <v>1</v>
      </c>
      <c r="J88" s="1415">
        <v>3.9798460144927536E-2</v>
      </c>
      <c r="L88"/>
      <c r="M88"/>
      <c r="N88"/>
    </row>
    <row r="89" spans="7:14" ht="13.8">
      <c r="G89" s="1426" t="s">
        <v>4359</v>
      </c>
      <c r="H89" s="1415">
        <v>18.75</v>
      </c>
      <c r="I89" s="1428">
        <v>1</v>
      </c>
      <c r="J89" s="1415">
        <v>0.10936725412278764</v>
      </c>
      <c r="L89"/>
      <c r="M89"/>
      <c r="N89"/>
    </row>
    <row r="90" spans="7:14" ht="13.8">
      <c r="G90" s="1426" t="s">
        <v>4209</v>
      </c>
      <c r="H90" s="1415">
        <v>24</v>
      </c>
      <c r="I90" s="1428">
        <v>1</v>
      </c>
      <c r="J90" s="1415">
        <v>4.1521524104416632E-2</v>
      </c>
      <c r="L90"/>
      <c r="M90"/>
      <c r="N90"/>
    </row>
    <row r="91" spans="7:14" ht="13.8">
      <c r="G91" s="1426" t="s">
        <v>4211</v>
      </c>
      <c r="H91" s="1415">
        <v>19</v>
      </c>
      <c r="I91" s="1428">
        <v>1</v>
      </c>
      <c r="J91" s="1415">
        <v>5.3060298605955618E-2</v>
      </c>
      <c r="L91"/>
      <c r="M91"/>
      <c r="N91"/>
    </row>
    <row r="92" spans="7:14" ht="13.8">
      <c r="G92" s="1426" t="s">
        <v>4681</v>
      </c>
      <c r="H92" s="1415">
        <v>25</v>
      </c>
      <c r="I92" s="1428">
        <v>0</v>
      </c>
      <c r="J92" s="1415">
        <v>-1</v>
      </c>
      <c r="L92"/>
      <c r="M92"/>
      <c r="N92"/>
    </row>
    <row r="93" spans="7:14" ht="13.8">
      <c r="G93" s="1426" t="s">
        <v>267</v>
      </c>
      <c r="H93" s="1415">
        <v>20.251261619628661</v>
      </c>
      <c r="I93" s="1428">
        <v>0.90322580645161288</v>
      </c>
      <c r="J93" s="1415">
        <v>0.13394713813035786</v>
      </c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81"/>
  <sheetViews>
    <sheetView showGridLines="0" zoomScale="80" zoomScaleNormal="80" workbookViewId="0">
      <pane xSplit="2" ySplit="3" topLeftCell="C255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H258" sqref="H258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8.69921875" style="1" bestFit="1" customWidth="1"/>
    <col min="5" max="5" width="8.69921875" style="1" customWidth="1"/>
    <col min="6" max="6" width="6.5" style="1" bestFit="1" customWidth="1"/>
    <col min="7" max="7" width="7.69921875" style="1" bestFit="1" customWidth="1"/>
    <col min="8" max="8" width="10.296875" style="1" customWidth="1"/>
    <col min="9" max="9" width="7.3984375" style="1" hidden="1" customWidth="1" outlineLevel="1"/>
    <col min="10" max="10" width="9.8984375" hidden="1" customWidth="1" outlineLevel="1"/>
    <col min="11" max="11" width="6.5" style="1" hidden="1" customWidth="1" outlineLevel="1"/>
    <col min="12" max="12" width="8.69921875" style="1" hidden="1" customWidth="1" outlineLevel="1"/>
    <col min="13" max="13" width="10.09765625" hidden="1" customWidth="1" outlineLevel="1"/>
    <col min="14" max="14" width="8.5" style="1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9.3984375" style="1" hidden="1" customWidth="1" outlineLevel="1"/>
    <col min="23" max="23" width="8.09765625" style="1" hidden="1" customWidth="1" outlineLevel="1"/>
    <col min="24" max="24" width="5.59765625" hidden="1" customWidth="1" outlineLevel="1"/>
    <col min="25" max="25" width="8" style="1" hidden="1" customWidth="1" outlineLevel="1"/>
    <col min="26" max="26" width="8.09765625" hidden="1" customWidth="1" outlineLevel="1"/>
    <col min="27" max="27" width="7.8984375" style="1" hidden="1" customWidth="1" outlineLevel="1"/>
    <col min="28" max="28" width="10.699218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K2" s="2"/>
      <c r="L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179</v>
      </c>
      <c r="E3" s="22" t="s">
        <v>3365</v>
      </c>
      <c r="F3" s="22" t="s">
        <v>1644</v>
      </c>
      <c r="G3" s="22" t="s">
        <v>4683</v>
      </c>
      <c r="H3" s="22" t="s">
        <v>314</v>
      </c>
      <c r="I3" s="22" t="s">
        <v>1812</v>
      </c>
      <c r="J3" s="22" t="s">
        <v>3583</v>
      </c>
      <c r="K3" s="22" t="s">
        <v>74</v>
      </c>
      <c r="L3" s="22" t="s">
        <v>4315</v>
      </c>
      <c r="M3" s="22" t="s">
        <v>4248</v>
      </c>
      <c r="N3" s="22" t="s">
        <v>3292</v>
      </c>
      <c r="O3" s="22" t="s">
        <v>3533</v>
      </c>
      <c r="P3" s="22" t="s">
        <v>1540</v>
      </c>
      <c r="Q3" s="22" t="s">
        <v>3291</v>
      </c>
      <c r="R3" s="22" t="s">
        <v>3211</v>
      </c>
      <c r="S3" s="22" t="s">
        <v>3870</v>
      </c>
      <c r="T3" s="22" t="s">
        <v>3766</v>
      </c>
      <c r="U3" s="22" t="s">
        <v>3871</v>
      </c>
      <c r="V3" s="22" t="s">
        <v>150</v>
      </c>
      <c r="W3" s="22" t="s">
        <v>1357</v>
      </c>
      <c r="X3" s="22" t="s">
        <v>3817</v>
      </c>
      <c r="Y3" s="22" t="s">
        <v>3167</v>
      </c>
      <c r="Z3" s="22" t="s">
        <v>3612</v>
      </c>
      <c r="AA3" s="22" t="s">
        <v>3288</v>
      </c>
      <c r="AB3" s="22" t="s">
        <v>3146</v>
      </c>
      <c r="AC3" s="22" t="s">
        <v>294</v>
      </c>
      <c r="AD3" s="22" t="s">
        <v>3366</v>
      </c>
      <c r="AE3" s="22" t="s">
        <v>3226</v>
      </c>
      <c r="AF3" s="22" t="s">
        <v>1537</v>
      </c>
      <c r="AG3" s="22" t="s">
        <v>73</v>
      </c>
      <c r="AH3" s="22" t="s">
        <v>3342</v>
      </c>
      <c r="AI3" s="22" t="s">
        <v>293</v>
      </c>
      <c r="AJ3" s="22" t="s">
        <v>2122</v>
      </c>
      <c r="AK3" s="22" t="s">
        <v>2690</v>
      </c>
      <c r="AL3" s="22" t="s">
        <v>2848</v>
      </c>
      <c r="AM3" s="22" t="s">
        <v>351</v>
      </c>
      <c r="AN3" s="22" t="s">
        <v>14</v>
      </c>
      <c r="AO3" s="22" t="s">
        <v>3485</v>
      </c>
      <c r="AP3" s="22" t="s">
        <v>2</v>
      </c>
      <c r="AR3" s="22" t="s">
        <v>151</v>
      </c>
      <c r="AS3" s="22" t="s">
        <v>179</v>
      </c>
      <c r="AT3" s="22" t="s">
        <v>3365</v>
      </c>
      <c r="AU3" s="22" t="s">
        <v>4315</v>
      </c>
      <c r="AV3" s="22" t="s">
        <v>3292</v>
      </c>
      <c r="AW3" s="22" t="s">
        <v>3817</v>
      </c>
      <c r="AX3" s="22" t="s">
        <v>3288</v>
      </c>
      <c r="AY3" s="22" t="s">
        <v>3229</v>
      </c>
      <c r="AZ3" s="22" t="s">
        <v>1812</v>
      </c>
      <c r="BA3" s="22" t="s">
        <v>3612</v>
      </c>
      <c r="BB3" s="22" t="s">
        <v>3766</v>
      </c>
      <c r="BC3" s="22" t="s">
        <v>3291</v>
      </c>
      <c r="BD3" s="22" t="s">
        <v>3211</v>
      </c>
      <c r="BE3" s="22" t="s">
        <v>3871</v>
      </c>
      <c r="BF3" s="22" t="s">
        <v>3167</v>
      </c>
      <c r="BG3" s="22" t="s">
        <v>150</v>
      </c>
      <c r="BH3" s="22" t="s">
        <v>3342</v>
      </c>
      <c r="BI3" s="22" t="s">
        <v>14</v>
      </c>
      <c r="BJ3" s="22" t="s">
        <v>15</v>
      </c>
      <c r="BK3" s="22" t="s">
        <v>1813</v>
      </c>
      <c r="BM3" s="22" t="s">
        <v>151</v>
      </c>
      <c r="BN3" s="22" t="s">
        <v>74</v>
      </c>
      <c r="BO3" s="22" t="s">
        <v>179</v>
      </c>
      <c r="BP3" s="22" t="s">
        <v>3211</v>
      </c>
      <c r="BQ3" s="22" t="s">
        <v>3817</v>
      </c>
      <c r="BR3" s="22" t="s">
        <v>3288</v>
      </c>
      <c r="BS3" s="22" t="s">
        <v>3766</v>
      </c>
      <c r="BT3" s="22" t="s">
        <v>3612</v>
      </c>
      <c r="BU3" s="22" t="s">
        <v>3167</v>
      </c>
      <c r="BV3" s="22" t="s">
        <v>14</v>
      </c>
      <c r="BW3" s="22" t="s">
        <v>15</v>
      </c>
      <c r="BX3" s="22" t="s">
        <v>3507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Líquido],base[Data],Extrato!$B4,base[Método],Extrato!E$3,base[Exchange],"Fulltbet")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SUMIF(BetFlow!B:B,B4,BetFlow!J:J)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Líquido],base[Data],Extrato!$B5,base[Método],Extrato!E$3,base[Exchange],"Fulltbet")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SUMIF(BetFlow!B:B,B5,BetFlow!J:J)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Líquido],base[Data],Extrato!$B6,base[Método],Extrato!E$3,base[Exchange],"Fulltbet")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SUMIF(BetFlow!B:B,B6,BetFlow!J:J)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Líquido],base[Data],Extrato!$B7,base[Método],Extrato!E$3,base[Exchange],"Fulltbet")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SUMIF(BetFlow!B:B,B7,BetFlow!J:J)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Líquido],base[Data],Extrato!$B8,base[Método],Extrato!E$3,base[Exchange],"Fulltbet")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SUMIF(BetFlow!B:B,B8,BetFlow!J:J)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0</v>
      </c>
      <c r="E9" s="2">
        <f>SUMIFS(base[L/P Líquido],base[Data],Extrato!$B9,base[Método],Extrato!E$3,base[Exchange],"Fulltbet")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SUMIF(BetFlow!B:B,B9,BetFlow!J:J)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47.134150000000005</v>
      </c>
      <c r="L9" s="2">
        <f>SUMIFS(base[L/P Líquido],base[Data],Extrato!$B9,base[Método],Extrato!L$3)</f>
        <v>0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0</v>
      </c>
      <c r="E10" s="2">
        <f>SUMIFS(base[L/P Líquido],base[Data],Extrato!$B10,base[Método],Extrato!E$3,base[Exchange],"Fulltbet")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SUMIF(BetFlow!B:B,B10,BetFlow!J:J)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5.3097999999999992</v>
      </c>
      <c r="L10" s="2">
        <f>SUMIFS(base[L/P Líquido],base[Data],Extrato!$B10,base[Método],Extrato!L$3)</f>
        <v>0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0</v>
      </c>
      <c r="E11" s="2">
        <f>SUMIFS(base[L/P Líquido],base[Data],Extrato!$B11,base[Método],Extrato!E$3,base[Exchange],"Fulltbet")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SUMIF(BetFlow!B:B,B11,BetFlow!J:J)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6.82</v>
      </c>
      <c r="L11" s="2">
        <f>SUMIFS(base[L/P Líquido],base[Data],Extrato!$B11,base[Método],Extrato!L$3)</f>
        <v>0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Líquido],base[Data],Extrato!$B12,base[Método],Extrato!E$3,base[Exchange],"Fulltbet")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SUMIF(BetFlow!B:B,B12,BetFlow!J:J)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10.93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0</v>
      </c>
      <c r="E13" s="2">
        <f>SUMIFS(base[L/P Líquido],base[Data],Extrato!$B13,base[Método],Extrato!E$3,base[Exchange],"Fulltbet")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SUMIF(BetFlow!B:B,B13,BetFlow!J:J)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40.64085</v>
      </c>
      <c r="L13" s="2">
        <f>SUMIFS(base[L/P Líquido],base[Data],Extrato!$B13,base[Método],Extrato!L$3)</f>
        <v>0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8.3084999999999987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0</v>
      </c>
      <c r="E14" s="2">
        <f>SUMIFS(base[L/P Líquido],base[Data],Extrato!$B14,base[Método],Extrato!E$3,base[Exchange],"Fulltbet")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SUMIF(BetFlow!B:B,B14,BetFlow!J:J)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10.06</v>
      </c>
      <c r="L14" s="2">
        <f>SUMIFS(base[L/P Líquido],base[Data],Extrato!$B14,base[Método],Extrato!L$3)</f>
        <v>0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0</v>
      </c>
      <c r="E15" s="2">
        <f>SUMIFS(base[L/P Líquido],base[Data],Extrato!$B15,base[Método],Extrato!E$3,base[Exchange],"Fulltbet")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SUMIF(BetFlow!B:B,B15,BetFlow!J:J)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7.34</v>
      </c>
      <c r="L15" s="2">
        <f>SUMIFS(base[L/P Líquido],base[Data],Extrato!$B15,base[Método],Extrato!L$3)</f>
        <v>0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3.68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0</v>
      </c>
      <c r="E16" s="2">
        <f>SUMIFS(base[L/P Líquido],base[Data],Extrato!$B16,base[Método],Extrato!E$3,base[Exchange],"Fulltbet")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SUMIF(BetFlow!B:B,B16,BetFlow!J:J)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24.715399999999999</v>
      </c>
      <c r="L16" s="2">
        <f>SUMIFS(base[L/P Líquido],base[Data],Extrato!$B16,base[Método],Extrato!L$3)</f>
        <v>0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6.82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Líquido],base[Data],Extrato!$B17,base[Método],Extrato!E$3,base[Exchange],"Fulltbet")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SUMIF(BetFlow!B:B,B17,BetFlow!J:J)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0</v>
      </c>
      <c r="E18" s="2">
        <f>SUMIFS(base[L/P Líquido],base[Data],Extrato!$B18,base[Método],Extrato!E$3,base[Exchange],"Fulltbet")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SUMIF(BetFlow!B:B,B18,BetFlow!J:J)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7.64</v>
      </c>
      <c r="L18" s="2">
        <f>SUMIFS(base[L/P Líquido],base[Data],Extrato!$B18,base[Método],Extrato!L$3)</f>
        <v>0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0</v>
      </c>
      <c r="E19" s="2">
        <f>SUMIFS(base[L/P Líquido],base[Data],Extrato!$B19,base[Método],Extrato!E$3,base[Exchange],"Fulltbet")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SUMIF(BetFlow!B:B,B19,BetFlow!J:J)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35.098500000000001</v>
      </c>
      <c r="L19" s="2">
        <f>SUMIFS(base[L/P Líquido],base[Data],Extrato!$B19,base[Método],Extrato!L$3)</f>
        <v>0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3.6767499999999997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0</v>
      </c>
      <c r="E20" s="2">
        <f>SUMIFS(base[L/P Líquido],base[Data],Extrato!$B20,base[Método],Extrato!E$3,base[Exchange],"Fulltbet")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SUMIF(BetFlow!B:B,B20,BetFlow!J:J)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18.238700000000001</v>
      </c>
      <c r="L20" s="2">
        <f>SUMIFS(base[L/P Líquido],base[Data],Extrato!$B20,base[Método],Extrato!L$3)</f>
        <v>0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12.69655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0</v>
      </c>
      <c r="E21" s="2">
        <f>SUMIFS(base[L/P Líquido],base[Data],Extrato!$B21,base[Método],Extrato!E$3,base[Exchange],"Fulltbet")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SUMIF(BetFlow!B:B,B21,BetFlow!J:J)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7.34</v>
      </c>
      <c r="L21" s="2">
        <f>SUMIFS(base[L/P Líquido],base[Data],Extrato!$B21,base[Método],Extrato!L$3)</f>
        <v>0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Líquido],base[Data],Extrato!$B22,base[Método],Extrato!E$3,base[Exchange],"Fulltbet")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SUMIF(BetFlow!B:B,B22,BetFlow!J:J)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Líquido],base[Data],Extrato!$B23,base[Método],Extrato!E$3,base[Exchange],"Fulltbet")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SUMIF(BetFlow!B:B,B23,BetFlow!J:J)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Líquido],base[Data],Extrato!$B24,base[Método],Extrato!E$3,base[Exchange],"Fulltbet")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SUMIF(BetFlow!B:B,B24,BetFlow!J:J)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0</v>
      </c>
      <c r="E25" s="2">
        <f>SUMIFS(base[L/P Líquido],base[Data],Extrato!$B25,base[Método],Extrato!E$3,base[Exchange],"Fulltbet")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86.52</v>
      </c>
      <c r="I25" s="2">
        <f>SUMIF(BetFlow!B:B,B25,BetFlow!J:J)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14.324999999999999</v>
      </c>
      <c r="L25" s="2">
        <f>SUMIFS(base[L/P Líquido],base[Data],Extrato!$B25,base[Método],Extrato!L$3)</f>
        <v>0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0</v>
      </c>
      <c r="E26" s="2">
        <f>SUMIFS(base[L/P Líquido],base[Data],Extrato!$B26,base[Método],Extrato!E$3,base[Exchange],"Fulltbet")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240.22</v>
      </c>
      <c r="I26" s="2">
        <f>SUMIF(BetFlow!B:B,B26,BetFlow!J:J)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7.64</v>
      </c>
      <c r="L26" s="2">
        <f>SUMIFS(base[L/P Líquido],base[Data],Extrato!$B26,base[Método],Extrato!L$3)</f>
        <v>0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25.09515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0</v>
      </c>
      <c r="E27" s="2">
        <f>SUMIFS(base[L/P Líquido],base[Data],Extrato!$B27,base[Método],Extrato!E$3,base[Exchange],"Fulltbet")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105.49000000000001</v>
      </c>
      <c r="I27" s="2">
        <f>SUMIF(BetFlow!B:B,B27,BetFlow!J:J)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5.35</v>
      </c>
      <c r="L27" s="2">
        <f>SUMIFS(base[L/P Líquido],base[Data],Extrato!$B27,base[Método],Extrato!L$3)</f>
        <v>0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19.309999999999999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2346.9422499999991</v>
      </c>
    </row>
    <row r="28" spans="2:75" ht="15" customHeight="1">
      <c r="B28" s="33">
        <v>46017</v>
      </c>
      <c r="C28" s="2">
        <f t="shared" si="0"/>
        <v>2346.9422499999991</v>
      </c>
      <c r="D28" s="2">
        <f>SUMIFS(base[L/P Líquido],base[Data],Extrato!$B28,base[Método],Extrato!D$3)</f>
        <v>0</v>
      </c>
      <c r="E28" s="2">
        <f>SUMIFS(base[L/P Líquido],base[Data],Extrato!$B28,base[Método],Extrato!E$3,base[Exchange],"Fulltbet")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-17.020000000000003</v>
      </c>
      <c r="I28" s="2">
        <f>SUMIF(BetFlow!B:B,B28,BetFlow!J:J)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2329.9222499999992</v>
      </c>
    </row>
    <row r="29" spans="2:75" ht="15" customHeight="1">
      <c r="B29" s="33">
        <v>46018</v>
      </c>
      <c r="C29" s="2">
        <f t="shared" si="0"/>
        <v>2329.9222499999992</v>
      </c>
      <c r="D29" s="2">
        <f>SUMIFS(base[L/P Líquido],base[Data],Extrato!$B29,base[Método],Extrato!D$3)</f>
        <v>0</v>
      </c>
      <c r="E29" s="2">
        <f>SUMIFS(base[L/P Líquido],base[Data],Extrato!$B29,base[Método],Extrato!E$3,base[Exchange],"Fulltbet")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67.17</v>
      </c>
      <c r="I29" s="2">
        <f>SUMIF(BetFlow!B:B,B29,BetFlow!J:J)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20.12</v>
      </c>
      <c r="L29" s="2">
        <f>SUMIFS(base[L/P Líquido],base[Data],Extrato!$B29,base[Método],Extrato!L$3)</f>
        <v>0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2417.2122499999991</v>
      </c>
    </row>
    <row r="30" spans="2:75" ht="15" customHeight="1">
      <c r="B30" s="33">
        <v>46019</v>
      </c>
      <c r="C30" s="2">
        <f t="shared" si="0"/>
        <v>2417.2122499999991</v>
      </c>
      <c r="D30" s="2">
        <f>SUMIFS(base[L/P Líquido],base[Data],Extrato!$B30,base[Método],Extrato!D$3)</f>
        <v>0</v>
      </c>
      <c r="E30" s="2">
        <f>SUMIFS(base[L/P Líquido],base[Data],Extrato!$B30,base[Método],Extrato!E$3,base[Exchange],"Fulltbet")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-6.7800000000000011</v>
      </c>
      <c r="I30" s="2">
        <f>SUMIF(BetFlow!B:B,B30,BetFlow!J:J)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9.5500000000000007</v>
      </c>
      <c r="L30" s="2">
        <f>SUMIFS(base[L/P Líquido],base[Data],Extrato!$B30,base[Método],Extrato!L$3)</f>
        <v>0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11.36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2450.4222499999992</v>
      </c>
    </row>
    <row r="31" spans="2:75" ht="15" customHeight="1">
      <c r="B31" s="33">
        <v>46021</v>
      </c>
      <c r="C31" s="2">
        <f t="shared" si="0"/>
        <v>2450.4222499999992</v>
      </c>
      <c r="D31" s="2">
        <f>SUMIFS(base[L/P Líquido],base[Data],Extrato!$B31,base[Método],Extrato!D$3)</f>
        <v>0</v>
      </c>
      <c r="E31" s="2">
        <f>SUMIFS(base[L/P Líquido],base[Data],Extrato!$B31,base[Método],Extrato!E$3,base[Exchange],"Fulltbet")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SUMIF(BetFlow!B:B,B31,BetFlow!J:J)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5.45</v>
      </c>
      <c r="L31" s="2">
        <f>SUMIFS(base[L/P Líquido],base[Data],Extrato!$B31,base[Método],Extrato!L$3)</f>
        <v>0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2243.9322499999994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2243.9322499999994</v>
      </c>
      <c r="D32" s="2">
        <f>SUMIFS(base[L/P Líquido],base[Data],Extrato!$B32,base[Método],Extrato!D$3)</f>
        <v>0</v>
      </c>
      <c r="E32" s="2">
        <f>SUMIFS(base[L/P Líquido],base[Data],Extrato!$B32,base[Método],Extrato!E$3,base[Exchange],"Fulltbet")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SUMIF(BetFlow!B:B,B32,BetFlow!J:J)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2243.9322499999994</v>
      </c>
    </row>
    <row r="33" spans="2:42" ht="15" customHeight="1">
      <c r="B33" s="33">
        <v>46023</v>
      </c>
      <c r="C33" s="2">
        <f t="shared" si="2"/>
        <v>2243.9322499999994</v>
      </c>
      <c r="D33" s="2">
        <f>SUMIFS(base[L/P Líquido],base[Data],Extrato!$B33,base[Método],Extrato!D$3)</f>
        <v>0</v>
      </c>
      <c r="E33" s="2">
        <f>SUMIFS(base[L/P Líquido],base[Data],Extrato!$B33,base[Método],Extrato!E$3,base[Exchange],"Fulltbet")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SUMIF(BetFlow!B:B,B33,BetFlow!J:J)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-286.89999999999998</v>
      </c>
      <c r="L33" s="2">
        <f>SUMIFS(base[L/P Líquido],base[Data],Extrato!$B33,base[Método],Extrato!L$3)</f>
        <v>0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2011.3990499999993</v>
      </c>
    </row>
    <row r="34" spans="2:42" ht="15" customHeight="1">
      <c r="B34" s="33">
        <v>46024</v>
      </c>
      <c r="C34" s="2">
        <f t="shared" si="2"/>
        <v>2011.3990499999993</v>
      </c>
      <c r="D34" s="2">
        <f>SUMIFS(base[L/P Líquido],base[Data],Extrato!$B34,base[Método],Extrato!D$3)</f>
        <v>0</v>
      </c>
      <c r="E34" s="2">
        <f>SUMIFS(base[L/P Líquido],base[Data],Extrato!$B34,base[Método],Extrato!E$3,base[Exchange],"Fulltbet")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SUMIF(BetFlow!B:B,B34,BetFlow!J:J)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22.9</v>
      </c>
      <c r="L34" s="2">
        <f>SUMIFS(base[L/P Líquido],base[Data],Extrato!$B34,base[Método],Extrato!L$3)</f>
        <v>0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2034.2990499999994</v>
      </c>
    </row>
    <row r="35" spans="2:42" ht="15" customHeight="1">
      <c r="B35" s="33">
        <v>46025</v>
      </c>
      <c r="C35" s="2">
        <f t="shared" si="2"/>
        <v>2034.2990499999994</v>
      </c>
      <c r="D35" s="2">
        <f>SUMIFS(base[L/P Líquido],base[Data],Extrato!$B35,base[Método],Extrato!D$3)</f>
        <v>0</v>
      </c>
      <c r="E35" s="2">
        <f>SUMIFS(base[L/P Líquido],base[Data],Extrato!$B35,base[Método],Extrato!E$3,base[Exchange],"Fulltbet")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128.29999999999998</v>
      </c>
      <c r="I35" s="2">
        <f>SUMIF(BetFlow!B:B,B35,BetFlow!J:J)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45.219249999999995</v>
      </c>
      <c r="L35" s="2">
        <f>SUMIFS(base[L/P Líquido],base[Data],Extrato!$B35,base[Método],Extrato!L$3)</f>
        <v>0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2239.8344499999994</v>
      </c>
    </row>
    <row r="36" spans="2:42" ht="15" customHeight="1">
      <c r="B36" s="33">
        <v>46026</v>
      </c>
      <c r="C36" s="2">
        <f t="shared" si="2"/>
        <v>2239.8344499999994</v>
      </c>
      <c r="D36" s="2">
        <f>SUMIFS(base[L/P Líquido],base[Data],Extrato!$B36,base[Método],Extrato!D$3)</f>
        <v>0</v>
      </c>
      <c r="E36" s="2">
        <f>SUMIFS(base[L/P Líquido],base[Data],Extrato!$B36,base[Método],Extrato!E$3,base[Exchange],"Fulltbet")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-76.95</v>
      </c>
      <c r="I36" s="2">
        <f>SUMIF(BetFlow!B:B,B36,BetFlow!J:J)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61.484849999999994</v>
      </c>
      <c r="L36" s="2">
        <f>SUMIFS(base[L/P Líquido],base[Data],Extrato!$B36,base[Método],Extrato!L$3)</f>
        <v>0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5.12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2218.5456999999992</v>
      </c>
    </row>
    <row r="37" spans="2:42" ht="15" customHeight="1">
      <c r="B37" s="33">
        <v>46027</v>
      </c>
      <c r="C37" s="2">
        <f t="shared" si="2"/>
        <v>2218.5456999999992</v>
      </c>
      <c r="D37" s="2">
        <f>SUMIFS(base[L/P Líquido],base[Data],Extrato!$B37,base[Método],Extrato!D$3)</f>
        <v>0</v>
      </c>
      <c r="E37" s="2">
        <f>SUMIFS(base[L/P Líquido],base[Data],Extrato!$B37,base[Método],Extrato!E$3,base[Exchange],"Fulltbet")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SUMIF(BetFlow!B:B,B37,BetFlow!J:J)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2276.087399999999</v>
      </c>
    </row>
    <row r="38" spans="2:42" ht="15" customHeight="1">
      <c r="B38" s="33">
        <v>46028</v>
      </c>
      <c r="C38" s="2">
        <f t="shared" si="2"/>
        <v>2276.087399999999</v>
      </c>
      <c r="D38" s="2">
        <f>SUMIFS(base[L/P Líquido],base[Data],Extrato!$B38,base[Método],Extrato!D$3)</f>
        <v>0</v>
      </c>
      <c r="E38" s="2">
        <f>SUMIFS(base[L/P Líquido],base[Data],Extrato!$B38,base[Método],Extrato!E$3,base[Exchange],"Fulltbet")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-15.920000000000002</v>
      </c>
      <c r="I38" s="2">
        <f>SUMIF(BetFlow!B:B,B38,BetFlow!J:J)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2337.6173999999987</v>
      </c>
    </row>
    <row r="39" spans="2:42" ht="15" customHeight="1">
      <c r="B39" s="33">
        <v>46029</v>
      </c>
      <c r="C39" s="2">
        <f t="shared" si="2"/>
        <v>2337.6173999999987</v>
      </c>
      <c r="D39" s="2">
        <f>SUMIFS(base[L/P Líquido],base[Data],Extrato!$B39,base[Método],Extrato!D$3)</f>
        <v>25.58</v>
      </c>
      <c r="E39" s="2">
        <f>SUMIFS(base[L/P Líquido],base[Data],Extrato!$B39,base[Método],Extrato!E$3,base[Exchange],"Fulltbet")</f>
        <v>11.46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-30.939999999999998</v>
      </c>
      <c r="I39" s="2">
        <f>SUMIF(BetFlow!B:B,B39,BetFlow!J:J)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41.608649999999997</v>
      </c>
      <c r="L39" s="2">
        <f>SUMIFS(base[L/P Líquido],base[Data],Extrato!$B39,base[Método],Extrato!L$3)</f>
        <v>0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11.030250000000001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2383.4862999999987</v>
      </c>
    </row>
    <row r="40" spans="2:42" ht="15" customHeight="1">
      <c r="B40" s="33">
        <v>46030</v>
      </c>
      <c r="C40" s="2">
        <f t="shared" si="2"/>
        <v>2383.4862999999987</v>
      </c>
      <c r="D40" s="2">
        <f>SUMIFS(base[L/P Líquido],base[Data],Extrato!$B40,base[Método],Extrato!D$3)</f>
        <v>0</v>
      </c>
      <c r="E40" s="2">
        <f>SUMIFS(base[L/P Líquido],base[Data],Extrato!$B40,base[Método],Extrato!E$3,base[Exchange],"Fulltbet")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37.82</v>
      </c>
      <c r="I40" s="2">
        <f>SUMIF(BetFlow!B:B,B40,BetFlow!J:J)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-122.41995000000001</v>
      </c>
      <c r="L40" s="2">
        <f>SUMIFS(base[L/P Líquido],base[Data],Extrato!$B40,base[Método],Extrato!L$3)</f>
        <v>0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2272.5617499999989</v>
      </c>
    </row>
    <row r="41" spans="2:42" ht="15" customHeight="1">
      <c r="B41" s="33">
        <v>46031</v>
      </c>
      <c r="C41" s="2">
        <f t="shared" si="2"/>
        <v>2272.5617499999989</v>
      </c>
      <c r="D41" s="2">
        <f>SUMIFS(base[L/P Líquido],base[Data],Extrato!$B41,base[Método],Extrato!D$3)</f>
        <v>0</v>
      </c>
      <c r="E41" s="2">
        <f>SUMIFS(base[L/P Líquido],base[Data],Extrato!$B41,base[Método],Extrato!E$3,base[Exchange],"Fulltbet")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SUMIF(BetFlow!B:B,B41,BetFlow!J:J)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2172.6017499999989</v>
      </c>
    </row>
    <row r="42" spans="2:42" ht="15" customHeight="1">
      <c r="B42" s="33">
        <v>46032</v>
      </c>
      <c r="C42" s="2">
        <f t="shared" si="2"/>
        <v>2172.6017499999989</v>
      </c>
      <c r="D42" s="2">
        <f>SUMIFS(base[L/P Líquido],base[Data],Extrato!$B42,base[Método],Extrato!D$3)</f>
        <v>0</v>
      </c>
      <c r="E42" s="2">
        <f>SUMIFS(base[L/P Líquido],base[Data],Extrato!$B42,base[Método],Extrato!E$3,base[Exchange],"Fulltbet")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24.679999999999993</v>
      </c>
      <c r="I42" s="2">
        <f>SUMIF(BetFlow!B:B,B42,BetFlow!J:J)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19.20505</v>
      </c>
      <c r="L42" s="2">
        <f>SUMIFS(base[L/P Líquido],base[Data],Extrato!$B42,base[Método],Extrato!L$3)</f>
        <v>0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8.9600000000000009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2169.1767999999993</v>
      </c>
    </row>
    <row r="43" spans="2:42" ht="15" customHeight="1">
      <c r="B43" s="33">
        <v>46033</v>
      </c>
      <c r="C43" s="2">
        <f t="shared" si="2"/>
        <v>2169.1767999999993</v>
      </c>
      <c r="D43" s="2">
        <f>SUMIFS(base[L/P Líquido],base[Data],Extrato!$B43,base[Método],Extrato!D$3)</f>
        <v>0</v>
      </c>
      <c r="E43" s="2">
        <f>SUMIFS(base[L/P Líquido],base[Data],Extrato!$B43,base[Método],Extrato!E$3,base[Exchange],"Fulltbet")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134.65</v>
      </c>
      <c r="I43" s="2">
        <f>SUMIF(BetFlow!B:B,B43,BetFlow!J:J)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10.86</v>
      </c>
      <c r="L43" s="2">
        <f>SUMIFS(base[L/P Líquido],base[Data],Extrato!$B43,base[Método],Extrato!L$3)</f>
        <v>0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2248.6567999999997</v>
      </c>
    </row>
    <row r="44" spans="2:42" ht="15" customHeight="1">
      <c r="B44" s="33">
        <v>46034</v>
      </c>
      <c r="C44" s="2">
        <f t="shared" si="2"/>
        <v>2248.6567999999997</v>
      </c>
      <c r="D44" s="2">
        <f>SUMIFS(base[L/P Líquido],base[Data],Extrato!$B44,base[Método],Extrato!D$3)</f>
        <v>0</v>
      </c>
      <c r="E44" s="2">
        <f>SUMIFS(base[L/P Líquido],base[Data],Extrato!$B44,base[Método],Extrato!E$3,base[Exchange],"Fulltbet")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42.4</v>
      </c>
      <c r="I44" s="2">
        <f>SUMIF(BetFlow!B:B,B44,BetFlow!J:J)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2251.6967999999997</v>
      </c>
    </row>
    <row r="45" spans="2:42" ht="15" customHeight="1">
      <c r="B45" s="33">
        <v>46035</v>
      </c>
      <c r="C45" s="2">
        <f t="shared" si="2"/>
        <v>2251.6967999999997</v>
      </c>
      <c r="D45" s="2">
        <f>SUMIFS(base[L/P Líquido],base[Data],Extrato!$B45,base[Método],Extrato!D$3)</f>
        <v>0</v>
      </c>
      <c r="E45" s="2">
        <f>SUMIFS(base[L/P Líquido],base[Data],Extrato!$B45,base[Método],Extrato!E$3,base[Exchange],"Fulltbet")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41.26</v>
      </c>
      <c r="I45" s="2">
        <f>SUMIF(BetFlow!B:B,B45,BetFlow!J:J)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2275.4868000000001</v>
      </c>
    </row>
    <row r="46" spans="2:42" ht="15" customHeight="1">
      <c r="B46" s="33">
        <v>46036</v>
      </c>
      <c r="C46" s="2">
        <f t="shared" si="2"/>
        <v>2275.4868000000001</v>
      </c>
      <c r="D46" s="2">
        <f>SUMIFS(base[L/P Líquido],base[Data],Extrato!$B46,base[Método],Extrato!D$3)</f>
        <v>0</v>
      </c>
      <c r="E46" s="2">
        <f>SUMIFS(base[L/P Líquido],base[Data],Extrato!$B46,base[Método],Extrato!E$3,base[Exchange],"Fulltbet")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20.930000000000007</v>
      </c>
      <c r="I46" s="2">
        <f>SUMIF(BetFlow!B:B,B46,BetFlow!J:J)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-119.28995</v>
      </c>
      <c r="L46" s="2">
        <f>SUMIFS(base[L/P Líquido],base[Data],Extrato!$B46,base[Método],Extrato!L$3)</f>
        <v>0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2201.5768499999999</v>
      </c>
    </row>
    <row r="47" spans="2:42" ht="15" customHeight="1">
      <c r="B47" s="33">
        <v>46037</v>
      </c>
      <c r="C47" s="2">
        <f t="shared" si="2"/>
        <v>2201.5768499999999</v>
      </c>
      <c r="D47" s="2">
        <f>SUMIFS(base[L/P Líquido],base[Data],Extrato!$B47,base[Método],Extrato!D$3)</f>
        <v>0</v>
      </c>
      <c r="E47" s="2">
        <f>SUMIFS(base[L/P Líquido],base[Data],Extrato!$B47,base[Método],Extrato!E$3,base[Exchange],"Fulltbet")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50.26</v>
      </c>
      <c r="I47" s="2">
        <f>SUMIF(BetFlow!B:B,B47,BetFlow!J:J)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2251.8468500000004</v>
      </c>
    </row>
    <row r="48" spans="2:42" ht="15" customHeight="1">
      <c r="B48" s="33">
        <v>46038</v>
      </c>
      <c r="C48" s="2">
        <f t="shared" si="2"/>
        <v>2251.8468500000004</v>
      </c>
      <c r="D48" s="2">
        <f>SUMIFS(base[L/P Líquido],base[Data],Extrato!$B48,base[Método],Extrato!D$3)</f>
        <v>0</v>
      </c>
      <c r="E48" s="2">
        <f>SUMIFS(base[L/P Líquido],base[Data],Extrato!$B48,base[Método],Extrato!E$3,base[Exchange],"Fulltbet")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-82.789999999999992</v>
      </c>
      <c r="I48" s="2">
        <f>SUMIF(BetFlow!B:B,B48,BetFlow!J:J)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22.58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2233.7968500000002</v>
      </c>
    </row>
    <row r="49" spans="2:42" ht="15" customHeight="1">
      <c r="B49" s="33">
        <v>46039</v>
      </c>
      <c r="C49" s="2">
        <f t="shared" si="2"/>
        <v>2233.7968500000002</v>
      </c>
      <c r="D49" s="2">
        <f>SUMIFS(base[L/P Líquido],base[Data],Extrato!$B49,base[Método],Extrato!D$3)</f>
        <v>17.059999999999999</v>
      </c>
      <c r="E49" s="2">
        <f>SUMIFS(base[L/P Líquido],base[Data],Extrato!$B49,base[Método],Extrato!E$3,base[Exchange],"Fulltbet")</f>
        <v>33.020000000000003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-79.89</v>
      </c>
      <c r="I49" s="2">
        <f>SUMIF(BetFlow!B:B,B49,BetFlow!J:J)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39.854699999999994</v>
      </c>
      <c r="L49" s="2">
        <f>SUMIFS(base[L/P Líquido],base[Data],Extrato!$B49,base[Método],Extrato!L$3)</f>
        <v>0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15.93435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2296.92335</v>
      </c>
    </row>
    <row r="50" spans="2:42" ht="15" customHeight="1">
      <c r="B50" s="33">
        <v>46040</v>
      </c>
      <c r="C50" s="2">
        <f t="shared" si="2"/>
        <v>2296.92335</v>
      </c>
      <c r="D50" s="2">
        <f>SUMIFS(base[L/P Líquido],base[Data],Extrato!$B50,base[Método],Extrato!D$3)</f>
        <v>0</v>
      </c>
      <c r="E50" s="2">
        <f>SUMIFS(base[L/P Líquido],base[Data],Extrato!$B50,base[Método],Extrato!E$3,base[Exchange],"Fulltbet")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-245.94</v>
      </c>
      <c r="I50" s="2">
        <f>SUMIF(BetFlow!B:B,B50,BetFlow!J:J)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32.773049999999998</v>
      </c>
      <c r="L50" s="2">
        <f>SUMIFS(base[L/P Líquido],base[Data],Extrato!$B50,base[Método],Extrato!L$3)</f>
        <v>0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1955.0290999999997</v>
      </c>
    </row>
    <row r="51" spans="2:42" ht="15" customHeight="1">
      <c r="B51" s="33">
        <v>46041</v>
      </c>
      <c r="C51" s="2">
        <f t="shared" ref="C51:C82" si="3">AP50</f>
        <v>1955.0290999999997</v>
      </c>
      <c r="D51" s="2">
        <f>SUMIFS(base[L/P Líquido],base[Data],Extrato!$B51,base[Método],Extrato!D$3)</f>
        <v>0</v>
      </c>
      <c r="E51" s="2">
        <f>SUMIFS(base[L/P Líquido],base[Data],Extrato!$B51,base[Método],Extrato!E$3,base[Exchange],"Fulltbet")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SUMIF(BetFlow!B:B,B51,BetFlow!J:J)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1955.0290999999997</v>
      </c>
    </row>
    <row r="52" spans="2:42" ht="15" customHeight="1">
      <c r="B52" s="33">
        <v>46042</v>
      </c>
      <c r="C52" s="2">
        <f t="shared" si="3"/>
        <v>1955.0290999999997</v>
      </c>
      <c r="D52" s="2">
        <f>SUMIFS(base[L/P Líquido],base[Data],Extrato!$B52,base[Método],Extrato!D$3)</f>
        <v>0</v>
      </c>
      <c r="E52" s="2">
        <f>SUMIFS(base[L/P Líquido],base[Data],Extrato!$B52,base[Método],Extrato!E$3,base[Exchange],"Fulltbet")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-202.67000000000002</v>
      </c>
      <c r="I52" s="2">
        <f>SUMIF(BetFlow!B:B,B52,BetFlow!J:J)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23.4</v>
      </c>
      <c r="L52" s="2">
        <f>SUMIFS(base[L/P Líquido],base[Data],Extrato!$B52,base[Método],Extrato!L$3)</f>
        <v>0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1663.6466499999997</v>
      </c>
    </row>
    <row r="53" spans="2:42" ht="15" customHeight="1">
      <c r="B53" s="33">
        <v>46043</v>
      </c>
      <c r="C53" s="2">
        <f t="shared" si="3"/>
        <v>1663.6466499999997</v>
      </c>
      <c r="D53" s="2">
        <f>SUMIFS(base[L/P Líquido],base[Data],Extrato!$B53,base[Método],Extrato!D$3)</f>
        <v>0</v>
      </c>
      <c r="E53" s="2">
        <f>SUMIFS(base[L/P Líquido],base[Data],Extrato!$B53,base[Método],Extrato!E$3,base[Exchange],"Fulltbet")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-145.03</v>
      </c>
      <c r="I53" s="2">
        <f>SUMIF(BetFlow!B:B,B53,BetFlow!J:J)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18.23</v>
      </c>
      <c r="L53" s="2">
        <f>SUMIFS(base[L/P Líquido],base[Data],Extrato!$B53,base[Método],Extrato!L$3)</f>
        <v>0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1630.7249499999996</v>
      </c>
    </row>
    <row r="54" spans="2:42" ht="15" customHeight="1">
      <c r="B54" s="33">
        <v>46044</v>
      </c>
      <c r="C54" s="2">
        <f t="shared" si="3"/>
        <v>1630.7249499999996</v>
      </c>
      <c r="D54" s="2">
        <f>SUMIFS(base[L/P Líquido],base[Data],Extrato!$B54,base[Método],Extrato!D$3)</f>
        <v>0</v>
      </c>
      <c r="E54" s="2">
        <f>SUMIFS(base[L/P Líquido],base[Data],Extrato!$B54,base[Método],Extrato!E$3,base[Exchange],"Fulltbet")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SUMIF(BetFlow!B:B,B54,BetFlow!J:J)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20.189999999999998</v>
      </c>
      <c r="L54" s="2">
        <f>SUMIFS(base[L/P Líquido],base[Data],Extrato!$B54,base[Método],Extrato!L$3)</f>
        <v>0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1682.0249499999995</v>
      </c>
    </row>
    <row r="55" spans="2:42" ht="15" customHeight="1">
      <c r="B55" s="33">
        <v>46045</v>
      </c>
      <c r="C55" s="2">
        <f t="shared" si="3"/>
        <v>1682.0249499999995</v>
      </c>
      <c r="D55" s="2">
        <f>SUMIFS(base[L/P Líquido],base[Data],Extrato!$B55,base[Método],Extrato!D$3)</f>
        <v>0</v>
      </c>
      <c r="E55" s="2">
        <f>SUMIFS(base[L/P Líquido],base[Data],Extrato!$B55,base[Método],Extrato!E$3,base[Exchange],"Fulltbet")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-11.869999999999997</v>
      </c>
      <c r="I55" s="2">
        <f>SUMIF(BetFlow!B:B,B55,BetFlow!J:J)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20.420000000000002</v>
      </c>
      <c r="L55" s="2">
        <f>SUMIFS(base[L/P Líquido],base[Data],Extrato!$B55,base[Método],Extrato!L$3)</f>
        <v>0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1756.6104499999997</v>
      </c>
    </row>
    <row r="56" spans="2:42" ht="15" customHeight="1">
      <c r="B56" s="33">
        <v>46046</v>
      </c>
      <c r="C56" s="2">
        <f t="shared" si="3"/>
        <v>1756.6104499999997</v>
      </c>
      <c r="D56" s="2">
        <f>SUMIFS(base[L/P Líquido],base[Data],Extrato!$B56,base[Método],Extrato!D$3)</f>
        <v>0</v>
      </c>
      <c r="E56" s="2">
        <f>SUMIFS(base[L/P Líquido],base[Data],Extrato!$B56,base[Método],Extrato!E$3,base[Exchange],"Fulltbet")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21.090000000000003</v>
      </c>
      <c r="I56" s="2">
        <f>SUMIF(BetFlow!B:B,B56,BetFlow!J:J)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-79.735600000000005</v>
      </c>
      <c r="L56" s="2">
        <f>SUMIFS(base[L/P Líquido],base[Data],Extrato!$B56,base[Método],Extrato!L$3)</f>
        <v>0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19.850000000000001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2224.6604499999994</v>
      </c>
    </row>
    <row r="57" spans="2:42" ht="15" customHeight="1">
      <c r="B57" s="33">
        <v>46047</v>
      </c>
      <c r="C57" s="2">
        <f t="shared" si="3"/>
        <v>2224.6604499999994</v>
      </c>
      <c r="D57" s="2">
        <f>SUMIFS(base[L/P Líquido],base[Data],Extrato!$B57,base[Método],Extrato!D$3)</f>
        <v>0</v>
      </c>
      <c r="E57" s="2">
        <f>SUMIFS(base[L/P Líquido],base[Data],Extrato!$B57,base[Método],Extrato!E$3,base[Exchange],"Fulltbet")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5.0200000000000102</v>
      </c>
      <c r="I57" s="2">
        <f>SUMIF(BetFlow!B:B,B57,BetFlow!J:J)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47.746599999999994</v>
      </c>
      <c r="L57" s="2">
        <f>SUMIFS(base[L/P Líquido],base[Data],Extrato!$B57,base[Método],Extrato!L$3)</f>
        <v>0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2330.348649999999</v>
      </c>
    </row>
    <row r="58" spans="2:42" ht="15" customHeight="1">
      <c r="B58" s="33">
        <v>46048</v>
      </c>
      <c r="C58" s="2">
        <f t="shared" si="3"/>
        <v>2330.348649999999</v>
      </c>
      <c r="D58" s="2">
        <f>SUMIFS(base[L/P Líquido],base[Data],Extrato!$B58,base[Método],Extrato!D$3)</f>
        <v>0</v>
      </c>
      <c r="E58" s="2">
        <f>SUMIFS(base[L/P Líquido],base[Data],Extrato!$B58,base[Método],Extrato!E$3,base[Exchange],"Fulltbet")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46.249999999999993</v>
      </c>
      <c r="I58" s="2">
        <f>SUMIF(BetFlow!B:B,B58,BetFlow!J:J)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-149.27000000000001</v>
      </c>
      <c r="L58" s="2">
        <f>SUMIFS(base[L/P Líquido],base[Data],Extrato!$B58,base[Método],Extrato!L$3)</f>
        <v>0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2245.2486499999991</v>
      </c>
    </row>
    <row r="59" spans="2:42" ht="15" customHeight="1">
      <c r="B59" s="33">
        <v>46049</v>
      </c>
      <c r="C59" s="2">
        <f t="shared" si="3"/>
        <v>2245.2486499999991</v>
      </c>
      <c r="D59" s="2">
        <f>SUMIFS(base[L/P Líquido],base[Data],Extrato!$B59,base[Método],Extrato!D$3)</f>
        <v>0</v>
      </c>
      <c r="E59" s="2">
        <f>SUMIFS(base[L/P Líquido],base[Data],Extrato!$B59,base[Método],Extrato!E$3,base[Exchange],"Fulltbet")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90.699999999999989</v>
      </c>
      <c r="I59" s="2">
        <f>SUMIF(BetFlow!B:B,B59,BetFlow!J:J)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14.39</v>
      </c>
      <c r="L59" s="2">
        <f>SUMIFS(base[L/P Líquido],base[Data],Extrato!$B59,base[Método],Extrato!L$3)</f>
        <v>0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2264.3586499999988</v>
      </c>
    </row>
    <row r="60" spans="2:42" ht="15" customHeight="1">
      <c r="B60" s="33">
        <v>46050</v>
      </c>
      <c r="C60" s="2">
        <f t="shared" si="3"/>
        <v>2264.3586499999988</v>
      </c>
      <c r="D60" s="2">
        <f>SUMIFS(base[L/P Líquido],base[Data],Extrato!$B60,base[Método],Extrato!D$3)</f>
        <v>0</v>
      </c>
      <c r="E60" s="2">
        <f>SUMIFS(base[L/P Líquido],base[Data],Extrato!$B60,base[Método],Extrato!E$3,base[Exchange],"Fulltbet")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-77.430000000000007</v>
      </c>
      <c r="I60" s="2">
        <f>SUMIF(BetFlow!B:B,B60,BetFlow!J:J)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17.3</v>
      </c>
      <c r="L60" s="2">
        <f>SUMIFS(base[L/P Líquido],base[Data],Extrato!$B60,base[Método],Extrato!L$3)</f>
        <v>0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2158.598649999999</v>
      </c>
    </row>
    <row r="61" spans="2:42" ht="15" customHeight="1">
      <c r="B61" s="33">
        <v>46051</v>
      </c>
      <c r="C61" s="2">
        <f t="shared" si="3"/>
        <v>2158.598649999999</v>
      </c>
      <c r="D61" s="2">
        <f>SUMIFS(base[L/P Líquido],base[Data],Extrato!$B61,base[Método],Extrato!D$3)</f>
        <v>0</v>
      </c>
      <c r="E61" s="2">
        <f>SUMIFS(base[L/P Líquido],base[Data],Extrato!$B61,base[Método],Extrato!E$3,base[Exchange],"Fulltbet")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-120</v>
      </c>
      <c r="I61" s="2">
        <f>SUMIF(BetFlow!B:B,B61,BetFlow!J:J)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18.507899999999999</v>
      </c>
      <c r="L61" s="2">
        <f>SUMIFS(base[L/P Líquido],base[Data],Extrato!$B61,base[Método],Extrato!L$3)</f>
        <v>0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2108.6360499999992</v>
      </c>
    </row>
    <row r="62" spans="2:42" ht="15" customHeight="1">
      <c r="B62" s="33">
        <v>46052</v>
      </c>
      <c r="C62" s="2">
        <f t="shared" si="3"/>
        <v>2108.6360499999992</v>
      </c>
      <c r="D62" s="2">
        <f>SUMIFS(base[L/P Líquido],base[Data],Extrato!$B62,base[Método],Extrato!D$3)</f>
        <v>46.65</v>
      </c>
      <c r="E62" s="2">
        <f>SUMIFS(base[L/P Líquido],base[Data],Extrato!$B62,base[Método],Extrato!E$3,base[Exchange],"Fulltbet")</f>
        <v>13.53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65.080000000000013</v>
      </c>
      <c r="I62" s="2">
        <f>SUMIF(BetFlow!B:B,B62,BetFlow!J:J)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27.1432</v>
      </c>
      <c r="L62" s="2">
        <f>SUMIFS(base[L/P Líquido],base[Data],Extrato!$B62,base[Método],Extrato!L$3)</f>
        <v>0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2352.3246499999991</v>
      </c>
    </row>
    <row r="63" spans="2:42" ht="15" customHeight="1">
      <c r="B63" s="33">
        <v>46053</v>
      </c>
      <c r="C63" s="2">
        <f t="shared" si="3"/>
        <v>2352.3246499999991</v>
      </c>
      <c r="D63" s="2">
        <f>SUMIFS(base[L/P Líquido],base[Data],Extrato!$B63,base[Método],Extrato!D$3)</f>
        <v>-120.79</v>
      </c>
      <c r="E63" s="2">
        <f>SUMIFS(base[L/P Líquido],base[Data],Extrato!$B63,base[Método],Extrato!E$3,base[Exchange],"Fulltbet")</f>
        <v>16.28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360.58</v>
      </c>
      <c r="I63" s="2">
        <f>SUMIF(BetFlow!B:B,B63,BetFlow!J:J)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30.66</v>
      </c>
      <c r="L63" s="2">
        <f>SUMIFS(base[L/P Líquido],base[Data],Extrato!$B63,base[Método],Extrato!L$3)</f>
        <v>0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26.98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2793.1768499999989</v>
      </c>
    </row>
    <row r="64" spans="2:42" ht="15" customHeight="1">
      <c r="B64" s="33">
        <v>46054</v>
      </c>
      <c r="C64" s="2">
        <f t="shared" si="3"/>
        <v>2793.1768499999989</v>
      </c>
      <c r="D64" s="2">
        <f>SUMIFS(base[L/P Líquido],base[Data],Extrato!$B64,base[Método],Extrato!D$3)</f>
        <v>0</v>
      </c>
      <c r="E64" s="2">
        <f>SUMIFS(base[L/P Líquido],base[Data],Extrato!$B64,base[Método],Extrato!E$3,base[Exchange],"Fulltbet")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-370.75</v>
      </c>
      <c r="I64" s="2">
        <f>SUMIF(BetFlow!B:B,B64,BetFlow!J:J)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-218.48</v>
      </c>
      <c r="L64" s="2">
        <f>SUMIFS(base[L/P Líquido],base[Data],Extrato!$B64,base[Método],Extrato!L$3)</f>
        <v>0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2395.8908499999993</v>
      </c>
    </row>
    <row r="65" spans="2:42" ht="15" customHeight="1">
      <c r="B65" s="33">
        <v>46055</v>
      </c>
      <c r="C65" s="2">
        <f t="shared" si="3"/>
        <v>2395.8908499999993</v>
      </c>
      <c r="D65" s="2">
        <f>SUMIFS(base[L/P Líquido],base[Data],Extrato!$B65,base[Método],Extrato!D$3)</f>
        <v>0</v>
      </c>
      <c r="E65" s="2">
        <f>SUMIFS(base[L/P Líquido],base[Data],Extrato!$B65,base[Método],Extrato!E$3,base[Exchange],"Fulltbet")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-93.85</v>
      </c>
      <c r="I65" s="2">
        <f>SUMIF(BetFlow!B:B,B65,BetFlow!J:J)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2340.1308499999996</v>
      </c>
    </row>
    <row r="66" spans="2:42" ht="15" customHeight="1">
      <c r="B66" s="33">
        <v>46056</v>
      </c>
      <c r="C66" s="2">
        <f t="shared" si="3"/>
        <v>2340.1308499999996</v>
      </c>
      <c r="D66" s="2">
        <f>SUMIFS(base[L/P Líquido],base[Data],Extrato!$B66,base[Método],Extrato!D$3)</f>
        <v>0</v>
      </c>
      <c r="E66" s="2">
        <f>SUMIFS(base[L/P Líquido],base[Data],Extrato!$B66,base[Método],Extrato!E$3,base[Exchange],"Fulltbet")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SUMIF(BetFlow!B:B,B66,BetFlow!J:J)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2090.1208499999993</v>
      </c>
    </row>
    <row r="67" spans="2:42" ht="15" customHeight="1">
      <c r="B67" s="33">
        <v>46057</v>
      </c>
      <c r="C67" s="2">
        <f t="shared" si="3"/>
        <v>2090.1208499999993</v>
      </c>
      <c r="D67" s="2">
        <f>SUMIFS(base[L/P Líquido],base[Data],Extrato!$B67,base[Método],Extrato!D$3)</f>
        <v>0</v>
      </c>
      <c r="E67" s="2">
        <f>SUMIFS(base[L/P Líquido],base[Data],Extrato!$B67,base[Método],Extrato!E$3,base[Exchange],"Fulltbet")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69.52</v>
      </c>
      <c r="I67" s="2">
        <f>SUMIF(BetFlow!B:B,B67,BetFlow!J:J)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2176.3708499999993</v>
      </c>
    </row>
    <row r="68" spans="2:42" ht="15" customHeight="1">
      <c r="B68" s="33">
        <v>46058</v>
      </c>
      <c r="C68" s="2">
        <f t="shared" si="3"/>
        <v>2176.3708499999993</v>
      </c>
      <c r="D68" s="2">
        <f>SUMIFS(base[L/P Líquido],base[Data],Extrato!$B68,base[Método],Extrato!D$3)</f>
        <v>0</v>
      </c>
      <c r="E68" s="2">
        <f>SUMIFS(base[L/P Líquido],base[Data],Extrato!$B68,base[Método],Extrato!E$3,base[Exchange],"Fulltbet")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143.63</v>
      </c>
      <c r="I68" s="2">
        <f>SUMIF(BetFlow!B:B,B68,BetFlow!J:J)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2374.6163499999993</v>
      </c>
    </row>
    <row r="69" spans="2:42" ht="15" customHeight="1">
      <c r="B69" s="33">
        <v>46059</v>
      </c>
      <c r="C69" s="2">
        <f t="shared" si="3"/>
        <v>2374.6163499999993</v>
      </c>
      <c r="D69" s="2">
        <f>SUMIFS(base[L/P Líquido],base[Data],Extrato!$B69,base[Método],Extrato!D$3)</f>
        <v>0</v>
      </c>
      <c r="E69" s="2">
        <f>SUMIFS(base[L/P Líquido],base[Data],Extrato!$B69,base[Método],Extrato!E$3,base[Exchange],"Fulltbet")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236.34000000000003</v>
      </c>
      <c r="I69" s="2">
        <f>SUMIF(BetFlow!B:B,B69,BetFlow!J:J)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2595.6341499999994</v>
      </c>
    </row>
    <row r="70" spans="2:42" ht="15" customHeight="1">
      <c r="B70" s="33">
        <v>46060</v>
      </c>
      <c r="C70" s="2">
        <f t="shared" si="3"/>
        <v>2595.6341499999994</v>
      </c>
      <c r="D70" s="2">
        <f>SUMIFS(base[L/P Líquido],base[Data],Extrato!$B70,base[Método],Extrato!D$3)</f>
        <v>151.43</v>
      </c>
      <c r="E70" s="2">
        <f>SUMIFS(base[L/P Líquido],base[Data],Extrato!$B70,base[Método],Extrato!E$3,base[Exchange],"Fulltbet")</f>
        <v>51.790000000000006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56.97</v>
      </c>
      <c r="I70" s="2">
        <f>SUMIF(BetFlow!B:B,B70,BetFlow!J:J)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19.89</v>
      </c>
      <c r="L70" s="2">
        <f>SUMIFS(base[L/P Líquido],base[Data],Extrato!$B70,base[Método],Extrato!L$3)</f>
        <v>0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14.93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3091.5011499999991</v>
      </c>
    </row>
    <row r="71" spans="2:42" ht="15" customHeight="1">
      <c r="B71" s="33">
        <v>46061</v>
      </c>
      <c r="C71" s="2">
        <f t="shared" si="3"/>
        <v>3091.5011499999991</v>
      </c>
      <c r="D71" s="2">
        <f>SUMIFS(base[L/P Líquido],base[Data],Extrato!$B71,base[Método],Extrato!D$3)</f>
        <v>-204.08999999999997</v>
      </c>
      <c r="E71" s="2">
        <f>SUMIFS(base[L/P Líquido],base[Data],Extrato!$B71,base[Método],Extrato!E$3,base[Exchange],"Fulltbet")</f>
        <v>0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35.03</v>
      </c>
      <c r="I71" s="2">
        <f>SUMIF(BetFlow!B:B,B71,BetFlow!J:J)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-240.07000000000002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2472.8863499999989</v>
      </c>
    </row>
    <row r="72" spans="2:42" ht="15" customHeight="1">
      <c r="B72" s="33">
        <v>46062</v>
      </c>
      <c r="C72" s="2">
        <f t="shared" si="3"/>
        <v>2472.8863499999989</v>
      </c>
      <c r="D72" s="2">
        <f>SUMIFS(base[L/P Líquido],base[Data],Extrato!$B72,base[Método],Extrato!D$3)</f>
        <v>0</v>
      </c>
      <c r="E72" s="2">
        <f>SUMIFS(base[L/P Líquido],base[Data],Extrato!$B72,base[Método],Extrato!E$3,base[Exchange],"Fulltbet")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45.3</v>
      </c>
      <c r="I72" s="2">
        <f>SUMIF(BetFlow!B:B,B72,BetFlow!J:J)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10.848799999999999</v>
      </c>
      <c r="L72" s="2">
        <f>SUMIFS(base[L/P Líquido],base[Data],Extrato!$B72,base[Método],Extrato!L$3)</f>
        <v>0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2715.2643499999995</v>
      </c>
    </row>
    <row r="73" spans="2:42" ht="15" customHeight="1">
      <c r="B73" s="33">
        <v>46063</v>
      </c>
      <c r="C73" s="2">
        <f t="shared" si="3"/>
        <v>2715.2643499999995</v>
      </c>
      <c r="D73" s="2">
        <f>SUMIFS(base[L/P Líquido],base[Data],Extrato!$B73,base[Método],Extrato!D$3)</f>
        <v>121.22999999999999</v>
      </c>
      <c r="E73" s="2">
        <f>SUMIFS(base[L/P Líquido],base[Data],Extrato!$B73,base[Método],Extrato!E$3,base[Exchange],"Fulltbet")</f>
        <v>0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98.019999999999982</v>
      </c>
      <c r="I73" s="2">
        <f>SUMIF(BetFlow!B:B,B73,BetFlow!J:J)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3018.4827999999998</v>
      </c>
    </row>
    <row r="74" spans="2:42" ht="15" customHeight="1">
      <c r="B74" s="33">
        <v>46064</v>
      </c>
      <c r="C74" s="2">
        <f t="shared" si="3"/>
        <v>3018.4827999999998</v>
      </c>
      <c r="D74" s="2">
        <f>SUMIFS(base[L/P Líquido],base[Data],Extrato!$B74,base[Método],Extrato!D$3)</f>
        <v>-168.9</v>
      </c>
      <c r="E74" s="2">
        <f>SUMIFS(base[L/P Líquido],base[Data],Extrato!$B74,base[Método],Extrato!E$3,base[Exchange],"Fulltbet")</f>
        <v>29.12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-121.58000000000001</v>
      </c>
      <c r="I74" s="2">
        <f>SUMIF(BetFlow!B:B,B74,BetFlow!J:J)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-27.23</v>
      </c>
      <c r="L74" s="2">
        <f>SUMIFS(base[L/P Líquido],base[Data],Extrato!$B74,base[Método],Extrato!L$3)</f>
        <v>0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2867.9281999999998</v>
      </c>
    </row>
    <row r="75" spans="2:42" ht="15" customHeight="1">
      <c r="B75" s="33">
        <v>46065</v>
      </c>
      <c r="C75" s="2">
        <f t="shared" si="3"/>
        <v>2867.9281999999998</v>
      </c>
      <c r="D75" s="2">
        <f>SUMIFS(base[L/P Líquido],base[Data],Extrato!$B75,base[Método],Extrato!D$3)</f>
        <v>0</v>
      </c>
      <c r="E75" s="2">
        <f>SUMIFS(base[L/P Líquido],base[Data],Extrato!$B75,base[Método],Extrato!E$3,base[Exchange],"Fulltbet")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-92</v>
      </c>
      <c r="I75" s="2">
        <f>SUMIF(BetFlow!B:B,B75,BetFlow!J:J)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-16.53</v>
      </c>
      <c r="L75" s="2">
        <f>SUMIFS(base[L/P Líquido],base[Data],Extrato!$B75,base[Método],Extrato!L$3)</f>
        <v>0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2738.0881999999992</v>
      </c>
    </row>
    <row r="76" spans="2:42" ht="15" customHeight="1">
      <c r="B76" s="33">
        <v>46066</v>
      </c>
      <c r="C76" s="2">
        <f t="shared" si="3"/>
        <v>2738.0881999999992</v>
      </c>
      <c r="D76" s="2">
        <f>SUMIFS(base[L/P Líquido],base[Data],Extrato!$B76,base[Método],Extrato!D$3)</f>
        <v>0</v>
      </c>
      <c r="E76" s="2">
        <f>SUMIFS(base[L/P Líquido],base[Data],Extrato!$B76,base[Método],Extrato!E$3,base[Exchange],"Fulltbet")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-271.87</v>
      </c>
      <c r="I76" s="2">
        <f>SUMIF(BetFlow!B:B,B76,BetFlow!J:J)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10.380849999999999</v>
      </c>
      <c r="L76" s="2">
        <f>SUMIFS(base[L/P Líquido],base[Data],Extrato!$B76,base[Método],Extrato!L$3)</f>
        <v>0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10.380849999999999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2615.9669999999996</v>
      </c>
    </row>
    <row r="77" spans="2:42" ht="15" customHeight="1">
      <c r="B77" s="33">
        <v>46067</v>
      </c>
      <c r="C77" s="2">
        <f t="shared" si="3"/>
        <v>2615.9669999999996</v>
      </c>
      <c r="D77" s="2">
        <f>SUMIFS(base[L/P Líquido],base[Data],Extrato!$B77,base[Método],Extrato!D$3)</f>
        <v>37.299999999999997</v>
      </c>
      <c r="E77" s="2">
        <f>SUMIFS(base[L/P Líquido],base[Data],Extrato!$B77,base[Método],Extrato!E$3,base[Exchange],"Fulltbet")</f>
        <v>23.88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246.13000000000002</v>
      </c>
      <c r="I77" s="2">
        <f>SUMIF(BetFlow!B:B,B77,BetFlow!J:J)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22.950000000000003</v>
      </c>
      <c r="L77" s="2">
        <f>SUMIFS(base[L/P Líquido],base[Data],Extrato!$B77,base[Método],Extrato!L$3)</f>
        <v>0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25.78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2971.9969999999998</v>
      </c>
    </row>
    <row r="78" spans="2:42" ht="15" customHeight="1">
      <c r="B78" s="33">
        <v>46068</v>
      </c>
      <c r="C78" s="2">
        <f t="shared" si="3"/>
        <v>2971.9969999999998</v>
      </c>
      <c r="D78" s="2">
        <f>SUMIFS(base[L/P Líquido],base[Data],Extrato!$B78,base[Método],Extrato!D$3)</f>
        <v>8.82</v>
      </c>
      <c r="E78" s="2">
        <f>SUMIFS(base[L/P Líquido],base[Data],Extrato!$B78,base[Método],Extrato!E$3,base[Exchange],"Fulltbet")</f>
        <v>0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-50.75</v>
      </c>
      <c r="I78" s="2">
        <f>SUMIF(BetFlow!B:B,B78,BetFlow!J:J)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10.85</v>
      </c>
      <c r="L78" s="2">
        <f>SUMIFS(base[L/P Líquido],base[Data],Extrato!$B78,base[Método],Extrato!L$3)</f>
        <v>0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2580.36</v>
      </c>
    </row>
    <row r="79" spans="2:42" ht="15" customHeight="1">
      <c r="B79" s="33">
        <v>46069</v>
      </c>
      <c r="C79" s="2">
        <f t="shared" si="3"/>
        <v>2580.36</v>
      </c>
      <c r="D79" s="2">
        <f>SUMIFS(base[L/P Líquido],base[Data],Extrato!$B79,base[Método],Extrato!D$3)</f>
        <v>0</v>
      </c>
      <c r="E79" s="2">
        <f>SUMIFS(base[L/P Líquido],base[Data],Extrato!$B79,base[Método],Extrato!E$3,base[Exchange],"Fulltbet")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58.06</v>
      </c>
      <c r="I79" s="2">
        <f>SUMIF(BetFlow!B:B,B79,BetFlow!J:J)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17.059999999999999</v>
      </c>
      <c r="L79" s="2">
        <f>SUMIFS(base[L/P Líquido],base[Data],Extrato!$B79,base[Método],Extrato!L$3)</f>
        <v>0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2675.67</v>
      </c>
    </row>
    <row r="80" spans="2:42" ht="15" customHeight="1">
      <c r="B80" s="33">
        <v>46070</v>
      </c>
      <c r="C80" s="2">
        <f t="shared" si="3"/>
        <v>2675.67</v>
      </c>
      <c r="D80" s="2">
        <f>SUMIFS(base[L/P Líquido],base[Data],Extrato!$B80,base[Método],Extrato!D$3)</f>
        <v>0</v>
      </c>
      <c r="E80" s="2">
        <f>SUMIFS(base[L/P Líquido],base[Data],Extrato!$B80,base[Método],Extrato!E$3,base[Exchange],"Fulltbet")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SUMIF(BetFlow!B:B,B80,BetFlow!J:J)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31.39</v>
      </c>
      <c r="L80" s="2">
        <f>SUMIFS(base[L/P Líquido],base[Data],Extrato!$B80,base[Método],Extrato!L$3)</f>
        <v>0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2707.06</v>
      </c>
    </row>
    <row r="81" spans="2:42" ht="15" customHeight="1">
      <c r="B81" s="33">
        <v>46071</v>
      </c>
      <c r="C81" s="2">
        <f t="shared" si="3"/>
        <v>2707.06</v>
      </c>
      <c r="D81" s="2">
        <f>SUMIFS(base[L/P Líquido],base[Data],Extrato!$B81,base[Método],Extrato!D$3)</f>
        <v>0</v>
      </c>
      <c r="E81" s="2">
        <f>SUMIFS(base[L/P Líquido],base[Data],Extrato!$B81,base[Método],Extrato!E$3,base[Exchange],"Fulltbet")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126.82000000000001</v>
      </c>
      <c r="I81" s="2">
        <f>SUMIF(BetFlow!B:B,B81,BetFlow!J:J)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14.93</v>
      </c>
      <c r="L81" s="2">
        <f>SUMIFS(base[L/P Líquido],base[Data],Extrato!$B81,base[Método],Extrato!L$3)</f>
        <v>0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2859.5099999999998</v>
      </c>
    </row>
    <row r="82" spans="2:42" ht="15" customHeight="1">
      <c r="B82" s="33">
        <v>46072</v>
      </c>
      <c r="C82" s="2">
        <f t="shared" si="3"/>
        <v>2859.5099999999998</v>
      </c>
      <c r="D82" s="2">
        <f>SUMIFS(base[L/P Líquido],base[Data],Extrato!$B82,base[Método],Extrato!D$3)</f>
        <v>0</v>
      </c>
      <c r="E82" s="2">
        <f>SUMIFS(base[L/P Líquido],base[Data],Extrato!$B82,base[Método],Extrato!E$3,base[Exchange],"Fulltbet")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SUMIF(BetFlow!B:B,B82,BetFlow!J:J)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2754.2699999999995</v>
      </c>
    </row>
    <row r="83" spans="2:42" ht="15" customHeight="1">
      <c r="B83" s="33">
        <v>46073</v>
      </c>
      <c r="C83" s="2">
        <f t="shared" ref="C83:C113" si="5">AP82</f>
        <v>2754.2699999999995</v>
      </c>
      <c r="D83" s="2">
        <f>SUMIFS(base[L/P Líquido],base[Data],Extrato!$B83,base[Método],Extrato!D$3)</f>
        <v>4.42</v>
      </c>
      <c r="E83" s="2">
        <f>SUMIFS(base[L/P Líquido],base[Data],Extrato!$B83,base[Método],Extrato!E$3,base[Exchange],"Fulltbet")</f>
        <v>0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52.170000000000016</v>
      </c>
      <c r="I83" s="2">
        <f>SUMIF(BetFlow!B:B,B83,BetFlow!J:J)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2954.6386999999995</v>
      </c>
    </row>
    <row r="84" spans="2:42" ht="15" customHeight="1">
      <c r="B84" s="33">
        <v>46074</v>
      </c>
      <c r="C84" s="2">
        <f t="shared" si="5"/>
        <v>2954.6386999999995</v>
      </c>
      <c r="D84" s="2">
        <f>SUMIFS(base[L/P Líquido],base[Data],Extrato!$B84,base[Método],Extrato!D$3)</f>
        <v>-50.570000000000007</v>
      </c>
      <c r="E84" s="2">
        <f>SUMIFS(base[L/P Líquido],base[Data],Extrato!$B84,base[Método],Extrato!E$3,base[Exchange],"Fulltbet")</f>
        <v>10.059999999999999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263.8</v>
      </c>
      <c r="I84" s="2">
        <f>SUMIF(BetFlow!B:B,B84,BetFlow!J:J)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61.069999999999993</v>
      </c>
      <c r="L84" s="2">
        <f>SUMIFS(base[L/P Líquido],base[Data],Extrato!$B84,base[Método],Extrato!L$3)</f>
        <v>0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14.05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3253.0386999999996</v>
      </c>
    </row>
    <row r="85" spans="2:42" ht="15" customHeight="1">
      <c r="B85" s="33">
        <v>46075</v>
      </c>
      <c r="C85" s="2">
        <f t="shared" si="5"/>
        <v>3253.0386999999996</v>
      </c>
      <c r="D85" s="2">
        <f>SUMIFS(base[L/P Líquido],base[Data],Extrato!$B85,base[Método],Extrato!D$3)</f>
        <v>43.64</v>
      </c>
      <c r="E85" s="2">
        <f>SUMIFS(base[L/P Líquido],base[Data],Extrato!$B85,base[Método],Extrato!E$3,base[Exchange],"Fulltbet")</f>
        <v>-95.669999999999987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-120.82</v>
      </c>
      <c r="I85" s="2">
        <f>SUMIF(BetFlow!B:B,B85,BetFlow!J:J)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21.630000000000003</v>
      </c>
      <c r="L85" s="2">
        <f>SUMIFS(base[L/P Líquido],base[Data],Extrato!$B85,base[Método],Extrato!L$3)</f>
        <v>0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10.85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3117.8086999999991</v>
      </c>
    </row>
    <row r="86" spans="2:42" ht="15" customHeight="1">
      <c r="B86" s="33">
        <v>46076</v>
      </c>
      <c r="C86" s="2">
        <f t="shared" si="5"/>
        <v>3117.8086999999991</v>
      </c>
      <c r="D86" s="2">
        <f>SUMIFS(base[L/P Líquido],base[Data],Extrato!$B86,base[Método],Extrato!D$3)</f>
        <v>0</v>
      </c>
      <c r="E86" s="2">
        <f>SUMIFS(base[L/P Líquido],base[Data],Extrato!$B86,base[Método],Extrato!E$3,base[Exchange],"Fulltbet")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SUMIF(BetFlow!B:B,B86,BetFlow!J:J)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-24.92</v>
      </c>
      <c r="L86" s="2">
        <f>SUMIFS(base[L/P Líquido],base[Data],Extrato!$B86,base[Método],Extrato!L$3)</f>
        <v>0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3221.6686999999993</v>
      </c>
    </row>
    <row r="87" spans="2:42" ht="15" customHeight="1">
      <c r="B87" s="33">
        <v>46077</v>
      </c>
      <c r="C87" s="2">
        <f t="shared" si="5"/>
        <v>3221.6686999999993</v>
      </c>
      <c r="D87" s="2">
        <f>SUMIFS(base[L/P Líquido],base[Data],Extrato!$B87,base[Método],Extrato!D$3)</f>
        <v>-8.41</v>
      </c>
      <c r="E87" s="2">
        <f>SUMIFS(base[L/P Líquido],base[Data],Extrato!$B87,base[Método],Extrato!E$3,base[Exchange],"Fulltbet")</f>
        <v>-166.86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SUMIF(BetFlow!B:B,B87,BetFlow!J:J)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3174.7498999999993</v>
      </c>
    </row>
    <row r="88" spans="2:42" ht="15" customHeight="1">
      <c r="B88" s="33">
        <v>46078</v>
      </c>
      <c r="C88" s="2">
        <f t="shared" si="5"/>
        <v>3174.7498999999993</v>
      </c>
      <c r="D88" s="2">
        <f>SUMIFS(base[L/P Líquido],base[Data],Extrato!$B88,base[Método],Extrato!D$3)</f>
        <v>0</v>
      </c>
      <c r="E88" s="2">
        <f>SUMIFS(base[L/P Líquido],base[Data],Extrato!$B88,base[Método],Extrato!E$3,base[Exchange],"Fulltbet")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SUMIF(BetFlow!B:B,B88,BetFlow!J:J)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3078.7298999999989</v>
      </c>
    </row>
    <row r="89" spans="2:42" ht="15" customHeight="1">
      <c r="B89" s="33">
        <v>46079</v>
      </c>
      <c r="C89" s="2">
        <f t="shared" si="5"/>
        <v>3078.7298999999989</v>
      </c>
      <c r="D89" s="2">
        <f>SUMIFS(base[L/P Líquido],base[Data],Extrato!$B89,base[Método],Extrato!D$3)</f>
        <v>0</v>
      </c>
      <c r="E89" s="2">
        <f>SUMIFS(base[L/P Líquido],base[Data],Extrato!$B89,base[Método],Extrato!E$3,base[Exchange],"Fulltbet")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SUMIF(BetFlow!B:B,B89,BetFlow!J:J)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2907.8313499999986</v>
      </c>
    </row>
    <row r="90" spans="2:42" ht="15" customHeight="1">
      <c r="B90" s="33">
        <v>46080</v>
      </c>
      <c r="C90" s="2">
        <f t="shared" si="5"/>
        <v>2907.8313499999986</v>
      </c>
      <c r="D90" s="2">
        <f>SUMIFS(base[L/P Líquido],base[Data],Extrato!$B90,base[Método],Extrato!D$3)</f>
        <v>34.44</v>
      </c>
      <c r="E90" s="2">
        <f>SUMIFS(base[L/P Líquido],base[Data],Extrato!$B90,base[Método],Extrato!E$3,base[Exchange],"Fulltbet")</f>
        <v>51.65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220.79</v>
      </c>
      <c r="I90" s="2">
        <f>SUMIF(BetFlow!B:B,B90,BetFlow!J:J)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3214.7113499999987</v>
      </c>
    </row>
    <row r="91" spans="2:42" ht="15" customHeight="1">
      <c r="B91" s="33">
        <v>46081</v>
      </c>
      <c r="C91" s="2">
        <f t="shared" si="5"/>
        <v>3214.7113499999987</v>
      </c>
      <c r="D91" s="2">
        <f>SUMIFS(base[L/P Líquido],base[Data],Extrato!$B91,base[Método],Extrato!D$3)</f>
        <v>-124.87</v>
      </c>
      <c r="E91" s="2">
        <f>SUMIFS(base[L/P Líquido],base[Data],Extrato!$B91,base[Método],Extrato!E$3,base[Exchange],"Fulltbet")</f>
        <v>59.18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-100.50999999999999</v>
      </c>
      <c r="I91" s="2">
        <f>SUMIF(BetFlow!B:B,B91,BetFlow!J:J)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-136.01999999999998</v>
      </c>
      <c r="L91" s="2">
        <f>SUMIFS(base[L/P Líquido],base[Data],Extrato!$B91,base[Método],Extrato!L$3)</f>
        <v>0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2912.4913499999989</v>
      </c>
    </row>
    <row r="92" spans="2:42" ht="15" customHeight="1">
      <c r="B92" s="33">
        <v>46082</v>
      </c>
      <c r="C92" s="2">
        <f t="shared" si="5"/>
        <v>2912.4913499999989</v>
      </c>
      <c r="D92" s="2">
        <f>SUMIFS(base[L/P Líquido],base[Data],Extrato!$B92,base[Método],Extrato!D$3)</f>
        <v>-186.39000000000001</v>
      </c>
      <c r="E92" s="2">
        <f>SUMIFS(base[L/P Líquido],base[Data],Extrato!$B92,base[Método],Extrato!E$3,base[Exchange],"Fulltbet")</f>
        <v>-1.04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-18.260000000000005</v>
      </c>
      <c r="I92" s="2">
        <f>SUMIF(BetFlow!B:B,B92,BetFlow!J:J)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27.36</v>
      </c>
      <c r="L92" s="2">
        <f>SUMIFS(base[L/P Líquido],base[Data],Extrato!$B92,base[Método],Extrato!L$3)</f>
        <v>0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2984.141349999999</v>
      </c>
    </row>
    <row r="93" spans="2:42" ht="15" customHeight="1">
      <c r="B93" s="33">
        <v>46083</v>
      </c>
      <c r="C93" s="2">
        <f t="shared" si="5"/>
        <v>2984.141349999999</v>
      </c>
      <c r="D93" s="2">
        <f>SUMIFS(base[L/P Líquido],base[Data],Extrato!$B93,base[Método],Extrato!D$3)</f>
        <v>0</v>
      </c>
      <c r="E93" s="2">
        <f>SUMIFS(base[L/P Líquido],base[Data],Extrato!$B93,base[Método],Extrato!E$3,base[Exchange],"Fulltbet")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SUMIF(BetFlow!B:B,B93,BetFlow!J:J)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-134.9</v>
      </c>
      <c r="L93" s="2">
        <f>SUMIFS(base[L/P Líquido],base[Data],Extrato!$B93,base[Método],Extrato!L$3)</f>
        <v>0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2686.7913499999991</v>
      </c>
    </row>
    <row r="94" spans="2:42" ht="15" customHeight="1">
      <c r="B94" s="33">
        <v>46084</v>
      </c>
      <c r="C94" s="2">
        <f t="shared" si="5"/>
        <v>2686.7913499999991</v>
      </c>
      <c r="D94" s="2">
        <f>SUMIFS(base[L/P Líquido],base[Data],Extrato!$B94,base[Método],Extrato!D$3)</f>
        <v>-206.58</v>
      </c>
      <c r="E94" s="2">
        <f>SUMIFS(base[L/P Líquido],base[Data],Extrato!$B94,base[Método],Extrato!E$3,base[Exchange],"Fulltbet")</f>
        <v>26.04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-231.29000000000002</v>
      </c>
      <c r="I94" s="2">
        <f>SUMIF(BetFlow!B:B,B94,BetFlow!J:J)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-161.33000000000001</v>
      </c>
      <c r="L94" s="2">
        <f>SUMIFS(base[L/P Líquido],base[Data],Extrato!$B94,base[Método],Extrato!L$3)</f>
        <v>0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2113.6313499999992</v>
      </c>
    </row>
    <row r="95" spans="2:42" ht="15" customHeight="1">
      <c r="B95" s="33">
        <v>46085</v>
      </c>
      <c r="C95" s="2">
        <f t="shared" si="5"/>
        <v>2113.6313499999992</v>
      </c>
      <c r="D95" s="2">
        <f>SUMIFS(base[L/P Líquido],base[Data],Extrato!$B95,base[Método],Extrato!D$3)</f>
        <v>0</v>
      </c>
      <c r="E95" s="2">
        <f>SUMIFS(base[L/P Líquido],base[Data],Extrato!$B95,base[Método],Extrato!E$3,base[Exchange],"Fulltbet")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145.43</v>
      </c>
      <c r="I95" s="2">
        <f>SUMIF(BetFlow!B:B,B95,BetFlow!J:J)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42.83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2340.5913499999988</v>
      </c>
    </row>
    <row r="96" spans="2:42" ht="15" customHeight="1">
      <c r="B96" s="33">
        <v>46086</v>
      </c>
      <c r="C96" s="2">
        <f t="shared" si="5"/>
        <v>2340.5913499999988</v>
      </c>
      <c r="D96" s="2">
        <f>SUMIFS(base[L/P Líquido],base[Data],Extrato!$B96,base[Método],Extrato!D$3)</f>
        <v>0</v>
      </c>
      <c r="E96" s="2">
        <f>SUMIFS(base[L/P Líquido],base[Data],Extrato!$B96,base[Método],Extrato!E$3,base[Exchange],"Fulltbet")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SUMIF(BetFlow!B:B,B96,BetFlow!J:J)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2340.5913499999988</v>
      </c>
    </row>
    <row r="97" spans="2:42" ht="15" customHeight="1">
      <c r="B97" s="33">
        <v>46087</v>
      </c>
      <c r="C97" s="2">
        <f t="shared" si="5"/>
        <v>2340.5913499999988</v>
      </c>
      <c r="D97" s="2">
        <f>SUMIFS(base[L/P Líquido],base[Data],Extrato!$B97,base[Método],Extrato!D$3)</f>
        <v>0</v>
      </c>
      <c r="E97" s="2">
        <f>SUMIFS(base[L/P Líquido],base[Data],Extrato!$B97,base[Método],Extrato!E$3,base[Exchange],"Fulltbet")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76.73</v>
      </c>
      <c r="I97" s="2">
        <f>SUMIF(BetFlow!B:B,B97,BetFlow!J:J)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17.34</v>
      </c>
      <c r="L97" s="2">
        <f>SUMIFS(base[L/P Líquido],base[Data],Extrato!$B97,base[Método],Extrato!L$3)</f>
        <v>0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2104.6913499999991</v>
      </c>
    </row>
    <row r="98" spans="2:42" ht="15" customHeight="1">
      <c r="B98" s="33">
        <v>46088</v>
      </c>
      <c r="C98" s="2">
        <f t="shared" si="5"/>
        <v>2104.6913499999991</v>
      </c>
      <c r="D98" s="2">
        <f>SUMIFS(base[L/P Líquido],base[Data],Extrato!$B98,base[Método],Extrato!D$3)</f>
        <v>0</v>
      </c>
      <c r="E98" s="2">
        <f>SUMIFS(base[L/P Líquido],base[Data],Extrato!$B98,base[Método],Extrato!E$3,base[Exchange],"Fulltbet")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54.309999999999988</v>
      </c>
      <c r="I98" s="2">
        <f>SUMIF(BetFlow!B:B,B98,BetFlow!J:J)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14.53</v>
      </c>
      <c r="L98" s="2">
        <f>SUMIFS(base[L/P Líquido],base[Data],Extrato!$B98,base[Método],Extrato!L$3)</f>
        <v>0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84.03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2257.5613499999995</v>
      </c>
    </row>
    <row r="99" spans="2:42" ht="15" customHeight="1">
      <c r="B99" s="33">
        <v>46089</v>
      </c>
      <c r="C99" s="2">
        <f t="shared" si="5"/>
        <v>2257.5613499999995</v>
      </c>
      <c r="D99" s="2">
        <f>SUMIFS(base[L/P Líquido],base[Data],Extrato!$B99,base[Método],Extrato!D$3)</f>
        <v>44.77</v>
      </c>
      <c r="E99" s="2">
        <f>SUMIFS(base[L/P Líquido],base[Data],Extrato!$B99,base[Método],Extrato!E$3,base[Exchange],"Fulltbet")</f>
        <v>24.92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228.89</v>
      </c>
      <c r="I99" s="2">
        <f>SUMIF(BetFlow!B:B,B99,BetFlow!J:J)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15.92</v>
      </c>
      <c r="L99" s="2">
        <f>SUMIFS(base[L/P Líquido],base[Data],Extrato!$B99,base[Método],Extrato!L$3)</f>
        <v>0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2572.0513499999993</v>
      </c>
    </row>
    <row r="100" spans="2:42" ht="15" customHeight="1">
      <c r="B100" s="33">
        <v>46090</v>
      </c>
      <c r="C100" s="2">
        <f t="shared" si="5"/>
        <v>2572.0513499999993</v>
      </c>
      <c r="D100" s="2">
        <f>SUMIFS(base[L/P Líquido],base[Data],Extrato!$B100,base[Método],Extrato!D$3)</f>
        <v>0</v>
      </c>
      <c r="E100" s="2">
        <f>SUMIFS(base[L/P Líquido],base[Data],Extrato!$B100,base[Método],Extrato!E$3,base[Exchange],"Fulltbet")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SUMIF(BetFlow!B:B,B100,BetFlow!J:J)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18.23</v>
      </c>
      <c r="L100" s="2">
        <f>SUMIFS(base[L/P Líquido],base[Data],Extrato!$B100,base[Método],Extrato!L$3)</f>
        <v>0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2590.2813499999993</v>
      </c>
    </row>
    <row r="101" spans="2:42" ht="15" customHeight="1">
      <c r="B101" s="33">
        <v>46091</v>
      </c>
      <c r="C101" s="2">
        <f t="shared" si="5"/>
        <v>2590.2813499999993</v>
      </c>
      <c r="D101" s="2">
        <f>SUMIFS(base[L/P Líquido],base[Data],Extrato!$B101,base[Método],Extrato!D$3)</f>
        <v>0</v>
      </c>
      <c r="E101" s="2">
        <f>SUMIFS(base[L/P Líquido],base[Data],Extrato!$B101,base[Método],Extrato!E$3,base[Exchange],"Fulltbet")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-39.009999999999991</v>
      </c>
      <c r="I101" s="2">
        <f>SUMIF(BetFlow!B:B,B101,BetFlow!J:J)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65.3</v>
      </c>
      <c r="L101" s="2">
        <f>SUMIFS(base[L/P Líquido],base[Data],Extrato!$B101,base[Método],Extrato!L$3)</f>
        <v>0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-34.739999999999995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2584.0213499999995</v>
      </c>
    </row>
    <row r="102" spans="2:42" ht="15" customHeight="1">
      <c r="B102" s="33">
        <v>46092</v>
      </c>
      <c r="C102" s="2">
        <f t="shared" si="5"/>
        <v>2584.0213499999995</v>
      </c>
      <c r="D102" s="2">
        <f>SUMIFS(base[L/P Líquido],base[Data],Extrato!$B102,base[Método],Extrato!D$3)</f>
        <v>0</v>
      </c>
      <c r="E102" s="2">
        <f>SUMIFS(base[L/P Líquido],base[Data],Extrato!$B102,base[Método],Extrato!E$3,base[Exchange],"Fulltbet")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200.58999999999997</v>
      </c>
      <c r="I102" s="2">
        <f>SUMIF(BetFlow!B:B,B102,BetFlow!J:J)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73.92</v>
      </c>
      <c r="L102" s="2">
        <f>SUMIFS(base[L/P Líquido],base[Data],Extrato!$B102,base[Método],Extrato!L$3)</f>
        <v>0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2493.5113499999998</v>
      </c>
    </row>
    <row r="103" spans="2:42" ht="15" customHeight="1">
      <c r="B103" s="33">
        <v>46093</v>
      </c>
      <c r="C103" s="2">
        <f t="shared" si="5"/>
        <v>2493.5113499999998</v>
      </c>
      <c r="D103" s="2">
        <f>SUMIFS(base[L/P Líquido],base[Data],Extrato!$B103,base[Método],Extrato!D$3)</f>
        <v>0</v>
      </c>
      <c r="E103" s="2">
        <f>SUMIFS(base[L/P Líquido],base[Data],Extrato!$B103,base[Método],Extrato!E$3,base[Exchange],"Fulltbet")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SUMIF(BetFlow!B:B,B103,BetFlow!J:J)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36.380000000000003</v>
      </c>
      <c r="L103" s="2">
        <f>SUMIFS(base[L/P Líquido],base[Data],Extrato!$B103,base[Método],Extrato!L$3)</f>
        <v>0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51.16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2617.7713499999995</v>
      </c>
    </row>
    <row r="104" spans="2:42" ht="15" customHeight="1">
      <c r="B104" s="33">
        <v>46094</v>
      </c>
      <c r="C104" s="2">
        <f t="shared" si="5"/>
        <v>2617.7713499999995</v>
      </c>
      <c r="D104" s="2">
        <f>SUMIFS(base[L/P Líquido],base[Data],Extrato!$B104,base[Método],Extrato!D$3)</f>
        <v>0</v>
      </c>
      <c r="E104" s="2">
        <f>SUMIFS(base[L/P Líquido],base[Data],Extrato!$B104,base[Método],Extrato!E$3,base[Exchange],"Fulltbet")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-285</v>
      </c>
      <c r="I104" s="2">
        <f>SUMIF(BetFlow!B:B,B104,BetFlow!J:J)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2374.8713499999994</v>
      </c>
    </row>
    <row r="105" spans="2:42" ht="15" customHeight="1">
      <c r="B105" s="33">
        <v>46095</v>
      </c>
      <c r="C105" s="2">
        <f t="shared" si="5"/>
        <v>2374.8713499999994</v>
      </c>
      <c r="D105" s="2">
        <f>SUMIFS(base[L/P Líquido],base[Data],Extrato!$B105,base[Método],Extrato!D$3)</f>
        <v>0</v>
      </c>
      <c r="E105" s="2">
        <f>SUMIFS(base[L/P Líquido],base[Data],Extrato!$B105,base[Método],Extrato!E$3,base[Exchange],"Fulltbet")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368.85999999999996</v>
      </c>
      <c r="I105" s="2">
        <f>SUMIF(BetFlow!B:B,B105,BetFlow!J:J)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37.08</v>
      </c>
      <c r="L105" s="2">
        <f>SUMIFS(base[L/P Líquido],base[Data],Extrato!$B105,base[Método],Extrato!L$3)</f>
        <v>0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33.67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2858.7413499999998</v>
      </c>
    </row>
    <row r="106" spans="2:42" ht="15" customHeight="1">
      <c r="B106" s="33">
        <v>46096</v>
      </c>
      <c r="C106" s="2">
        <f t="shared" si="5"/>
        <v>2858.7413499999998</v>
      </c>
      <c r="D106" s="2">
        <f>SUMIFS(base[L/P Líquido],base[Data],Extrato!$B106,base[Método],Extrato!D$3)</f>
        <v>0</v>
      </c>
      <c r="E106" s="2">
        <f>SUMIFS(base[L/P Líquido],base[Data],Extrato!$B106,base[Método],Extrato!E$3,base[Exchange],"Fulltbet")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-38.49</v>
      </c>
      <c r="I106" s="2">
        <f>SUMIF(BetFlow!B:B,B106,BetFlow!J:J)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13.65</v>
      </c>
      <c r="L106" s="2">
        <f>SUMIFS(base[L/P Líquido],base[Data],Extrato!$B106,base[Método],Extrato!L$3)</f>
        <v>0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-405.26</v>
      </c>
      <c r="W106" s="2">
        <f>SUMIFS(base[L/P Líquido],base[Data],Extrato!$B106,base[Método],Extrato!W$3)</f>
        <v>6.1199999999999992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2434.7513499999995</v>
      </c>
    </row>
    <row r="107" spans="2:42" ht="15" customHeight="1">
      <c r="B107" s="33">
        <v>46097</v>
      </c>
      <c r="C107" s="2">
        <f t="shared" si="5"/>
        <v>2434.7513499999995</v>
      </c>
      <c r="D107" s="2">
        <f>SUMIFS(base[L/P Líquido],base[Data],Extrato!$B107,base[Método],Extrato!D$3)</f>
        <v>0</v>
      </c>
      <c r="E107" s="2">
        <f>SUMIFS(base[L/P Líquido],base[Data],Extrato!$B107,base[Método],Extrato!E$3,base[Exchange],"Fulltbet")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73.34</v>
      </c>
      <c r="I107" s="2">
        <f>SUMIF(BetFlow!B:B,B107,BetFlow!J:J)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2508.0913499999997</v>
      </c>
    </row>
    <row r="108" spans="2:42" ht="15" customHeight="1">
      <c r="B108" s="33">
        <v>46098</v>
      </c>
      <c r="C108" s="2">
        <f t="shared" si="5"/>
        <v>2508.0913499999997</v>
      </c>
      <c r="D108" s="2">
        <f>SUMIFS(base[L/P Líquido],base[Data],Extrato!$B108,base[Método],Extrato!D$3)</f>
        <v>0</v>
      </c>
      <c r="E108" s="2">
        <f>SUMIFS(base[L/P Líquido],base[Data],Extrato!$B108,base[Método],Extrato!E$3,base[Exchange],"Fulltbet")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-132.84</v>
      </c>
      <c r="I108" s="2">
        <f>SUMIF(BetFlow!B:B,B108,BetFlow!J:J)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39.150000000000006</v>
      </c>
      <c r="L108" s="2">
        <f>SUMIFS(base[L/P Líquido],base[Data],Extrato!$B108,base[Método],Extrato!L$3)</f>
        <v>0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2449.5313499999997</v>
      </c>
    </row>
    <row r="109" spans="2:42" ht="15" customHeight="1">
      <c r="B109" s="33">
        <v>46099</v>
      </c>
      <c r="C109" s="2">
        <f t="shared" si="5"/>
        <v>2449.5313499999997</v>
      </c>
      <c r="D109" s="2">
        <f>SUMIFS(base[L/P Líquido],base[Data],Extrato!$B109,base[Método],Extrato!D$3)</f>
        <v>0</v>
      </c>
      <c r="E109" s="2">
        <f>SUMIFS(base[L/P Líquido],base[Data],Extrato!$B109,base[Método],Extrato!E$3,base[Exchange],"Fulltbet")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-8.4699999999999989</v>
      </c>
      <c r="I109" s="2">
        <f>SUMIF(BetFlow!B:B,B109,BetFlow!J:J)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44.01</v>
      </c>
      <c r="L109" s="2">
        <f>SUMIFS(base[L/P Líquido],base[Data],Extrato!$B109,base[Método],Extrato!L$3)</f>
        <v>0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26.36</v>
      </c>
      <c r="W109" s="2">
        <f>SUMIFS(base[L/P Líquido],base[Data],Extrato!$B109,base[Método],Extrato!W$3)</f>
        <v>4.9000000000000004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2516.3213500000002</v>
      </c>
    </row>
    <row r="110" spans="2:42" ht="15" customHeight="1">
      <c r="B110" s="33">
        <v>46100</v>
      </c>
      <c r="C110" s="2">
        <f t="shared" si="5"/>
        <v>2516.3213500000002</v>
      </c>
      <c r="D110" s="2">
        <f>SUMIFS(base[L/P Líquido],base[Data],Extrato!$B110,base[Método],Extrato!D$3)</f>
        <v>0</v>
      </c>
      <c r="E110" s="2">
        <f>SUMIFS(base[L/P Líquido],base[Data],Extrato!$B110,base[Método],Extrato!E$3,base[Exchange],"Fulltbet")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36.550000000000011</v>
      </c>
      <c r="I110" s="2">
        <f>SUMIF(BetFlow!B:B,B110,BetFlow!J:J)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2552.8713500000003</v>
      </c>
    </row>
    <row r="111" spans="2:42" ht="15" customHeight="1">
      <c r="B111" s="33">
        <v>46101</v>
      </c>
      <c r="C111" s="2">
        <f t="shared" si="5"/>
        <v>2552.8713500000003</v>
      </c>
      <c r="D111" s="2">
        <f>SUMIFS(base[L/P Líquido],base[Data],Extrato!$B111,base[Método],Extrato!D$3)</f>
        <v>0</v>
      </c>
      <c r="E111" s="2">
        <f>SUMIFS(base[L/P Líquido],base[Data],Extrato!$B111,base[Método],Extrato!E$3,base[Exchange],"Fulltbet")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270.35000000000002</v>
      </c>
      <c r="I111" s="2">
        <f>SUMIF(BetFlow!B:B,B111,BetFlow!J:J)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35.340000000000003</v>
      </c>
      <c r="L111" s="2">
        <f>SUMIFS(base[L/P Líquido],base[Data],Extrato!$B111,base[Método],Extrato!L$3)</f>
        <v>0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15.08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2873.6313500000001</v>
      </c>
    </row>
    <row r="112" spans="2:42" ht="15" customHeight="1">
      <c r="B112" s="33">
        <v>46102</v>
      </c>
      <c r="C112" s="2">
        <f t="shared" si="5"/>
        <v>2873.6313500000001</v>
      </c>
      <c r="D112" s="2">
        <f>SUMIFS(base[L/P Líquido],base[Data],Extrato!$B112,base[Método],Extrato!D$3)</f>
        <v>0</v>
      </c>
      <c r="E112" s="2">
        <f>SUMIFS(base[L/P Líquido],base[Data],Extrato!$B112,base[Método],Extrato!E$3,base[Exchange],"Fulltbet")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211</v>
      </c>
      <c r="I112" s="2">
        <f>SUMIF(BetFlow!B:B,B112,BetFlow!J:J)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20.5</v>
      </c>
      <c r="L112" s="2">
        <f>SUMIFS(base[L/P Líquido],base[Data],Extrato!$B112,base[Método],Extrato!L$3)</f>
        <v>0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53.989999999999995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3242.5713500000002</v>
      </c>
    </row>
    <row r="113" spans="2:42" ht="15" customHeight="1">
      <c r="B113" s="33">
        <v>46103</v>
      </c>
      <c r="C113" s="2">
        <f t="shared" si="5"/>
        <v>3242.5713500000002</v>
      </c>
      <c r="D113" s="2">
        <f>SUMIFS(base[L/P Líquido],base[Data],Extrato!$B113,base[Método],Extrato!D$3)</f>
        <v>0</v>
      </c>
      <c r="E113" s="2">
        <f>SUMIFS(base[L/P Líquido],base[Data],Extrato!$B113,base[Método],Extrato!E$3,base[Exchange],"Fulltbet")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112.76</v>
      </c>
      <c r="I113" s="2">
        <f>SUMIF(BetFlow!B:B,B113,BetFlow!J:J)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105.52000000000001</v>
      </c>
      <c r="L113" s="2">
        <f>SUMIFS(base[L/P Líquido],base[Data],Extrato!$B113,base[Método],Extrato!L$3)</f>
        <v>0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-299.93</v>
      </c>
      <c r="W113" s="2">
        <f>SUMIFS(base[L/P Líquido],base[Data],Extrato!$B113,base[Método],Extrato!W$3)</f>
        <v>2.44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3286.6413500000008</v>
      </c>
    </row>
    <row r="114" spans="2:42" ht="15" customHeight="1">
      <c r="B114" s="33">
        <v>46104</v>
      </c>
      <c r="C114" s="2">
        <f t="shared" ref="C114:C122" si="6">AP113</f>
        <v>3286.6413500000008</v>
      </c>
      <c r="D114" s="2">
        <f>SUMIFS(base[L/P Líquido],base[Data],Extrato!$B114,base[Método],Extrato!D$3)</f>
        <v>0</v>
      </c>
      <c r="E114" s="2">
        <f>SUMIFS(base[L/P Líquido],base[Data],Extrato!$B114,base[Método],Extrato!E$3,base[Exchange],"Fulltbet")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SUMIF(BetFlow!B:B,B114,BetFlow!J:J)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3286.6413500000008</v>
      </c>
    </row>
    <row r="115" spans="2:42" ht="15" customHeight="1">
      <c r="B115" s="33">
        <v>46105</v>
      </c>
      <c r="C115" s="2">
        <f t="shared" si="6"/>
        <v>3286.6413500000008</v>
      </c>
      <c r="D115" s="2">
        <f>SUMIFS(base[L/P Líquido],base[Data],Extrato!$B115,base[Método],Extrato!D$3)</f>
        <v>0</v>
      </c>
      <c r="E115" s="2">
        <f>SUMIFS(base[L/P Líquido],base[Data],Extrato!$B115,base[Método],Extrato!E$3,base[Exchange],"Fulltbet")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SUMIF(BetFlow!B:B,B115,BetFlow!J:J)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3286.6413500000008</v>
      </c>
    </row>
    <row r="116" spans="2:42" ht="15" customHeight="1">
      <c r="B116" s="33">
        <v>46106</v>
      </c>
      <c r="C116" s="2">
        <f t="shared" si="6"/>
        <v>3286.6413500000008</v>
      </c>
      <c r="D116" s="2">
        <f>SUMIFS(base[L/P Líquido],base[Data],Extrato!$B116,base[Método],Extrato!D$3)</f>
        <v>0</v>
      </c>
      <c r="E116" s="2">
        <f>SUMIFS(base[L/P Líquido],base[Data],Extrato!$B116,base[Método],Extrato!E$3,base[Exchange],"Fulltbet")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SUMIF(BetFlow!B:B,B116,BetFlow!J:J)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3286.6413500000008</v>
      </c>
    </row>
    <row r="117" spans="2:42" ht="15" customHeight="1">
      <c r="B117" s="33">
        <v>46107</v>
      </c>
      <c r="C117" s="2">
        <f t="shared" si="6"/>
        <v>3286.6413500000008</v>
      </c>
      <c r="D117" s="2">
        <f>SUMIFS(base[L/P Líquido],base[Data],Extrato!$B117,base[Método],Extrato!D$3)</f>
        <v>0</v>
      </c>
      <c r="E117" s="2">
        <f>SUMIFS(base[L/P Líquido],base[Data],Extrato!$B117,base[Método],Extrato!E$3,base[Exchange],"Fulltbet")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SUMIF(BetFlow!B:B,B117,BetFlow!J:J)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3286.6413500000008</v>
      </c>
    </row>
    <row r="118" spans="2:42" ht="15" customHeight="1">
      <c r="B118" s="33">
        <v>46108</v>
      </c>
      <c r="C118" s="2">
        <f t="shared" si="6"/>
        <v>3286.6413500000008</v>
      </c>
      <c r="D118" s="2">
        <f>SUMIFS(base[L/P Líquido],base[Data],Extrato!$B118,base[Método],Extrato!D$3)</f>
        <v>0</v>
      </c>
      <c r="E118" s="2">
        <f>SUMIFS(base[L/P Líquido],base[Data],Extrato!$B118,base[Método],Extrato!E$3,base[Exchange],"Fulltbet")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SUMIF(BetFlow!B:B,B118,BetFlow!J:J)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3286.6413500000008</v>
      </c>
    </row>
    <row r="119" spans="2:42" ht="15" customHeight="1">
      <c r="B119" s="33">
        <v>46109</v>
      </c>
      <c r="C119" s="2">
        <f t="shared" si="6"/>
        <v>3286.6413500000008</v>
      </c>
      <c r="D119" s="2">
        <f>SUMIFS(base[L/P Líquido],base[Data],Extrato!$B119,base[Método],Extrato!D$3)</f>
        <v>0</v>
      </c>
      <c r="E119" s="2">
        <f>SUMIFS(base[L/P Líquido],base[Data],Extrato!$B119,base[Método],Extrato!E$3,base[Exchange],"Fulltbet")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SUMIF(BetFlow!B:B,B119,BetFlow!J:J)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19.100000000000001</v>
      </c>
      <c r="L119" s="2">
        <f>SUMIFS(base[L/P Líquido],base[Data],Extrato!$B119,base[Método],Extrato!L$3)</f>
        <v>0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3305.7413500000007</v>
      </c>
    </row>
    <row r="120" spans="2:42" ht="15" customHeight="1">
      <c r="B120" s="33">
        <v>46110</v>
      </c>
      <c r="C120" s="2">
        <f t="shared" si="6"/>
        <v>3305.7413500000007</v>
      </c>
      <c r="D120" s="2">
        <f>SUMIFS(base[L/P Líquido],base[Data],Extrato!$B120,base[Método],Extrato!D$3)</f>
        <v>0</v>
      </c>
      <c r="E120" s="2">
        <f>SUMIFS(base[L/P Líquido],base[Data],Extrato!$B120,base[Método],Extrato!E$3,base[Exchange],"Fulltbet")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SUMIF(BetFlow!B:B,B120,BetFlow!J:J)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3305.7413500000007</v>
      </c>
    </row>
    <row r="121" spans="2:42" ht="15" customHeight="1">
      <c r="B121" s="33">
        <v>46111</v>
      </c>
      <c r="C121" s="2">
        <f t="shared" si="6"/>
        <v>3305.7413500000007</v>
      </c>
      <c r="D121" s="2">
        <f>SUMIFS(base[L/P Líquido],base[Data],Extrato!$B121,base[Método],Extrato!D$3)</f>
        <v>0</v>
      </c>
      <c r="E121" s="2">
        <f>SUMIFS(base[L/P Líquido],base[Data],Extrato!$B121,base[Método],Extrato!E$3,base[Exchange],"Fulltbet")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SUMIF(BetFlow!B:B,B121,BetFlow!J:J)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3305.7413500000007</v>
      </c>
    </row>
    <row r="122" spans="2:42" ht="15" customHeight="1">
      <c r="B122" s="33">
        <v>46112</v>
      </c>
      <c r="C122" s="2">
        <f t="shared" si="6"/>
        <v>3305.7413500000007</v>
      </c>
      <c r="D122" s="2">
        <f>SUMIFS(base[L/P Líquido],base[Data],Extrato!$B122,base[Método],Extrato!D$3)</f>
        <v>0</v>
      </c>
      <c r="E122" s="2">
        <f>SUMIFS(base[L/P Líquido],base[Data],Extrato!$B122,base[Método],Extrato!E$3,base[Exchange],"Fulltbet")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-95</v>
      </c>
      <c r="I122" s="2">
        <f>SUMIF(BetFlow!B:B,B122,BetFlow!J:J)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3210.7413500000007</v>
      </c>
    </row>
    <row r="123" spans="2:42" ht="15" customHeight="1">
      <c r="B123" s="33">
        <v>46113</v>
      </c>
      <c r="C123" s="2">
        <f t="shared" ref="C123:C154" si="7">AP122</f>
        <v>3210.7413500000007</v>
      </c>
      <c r="D123" s="2">
        <f>SUMIFS(base[L/P Líquido],base[Data],Extrato!$B123,base[Método],Extrato!D$3)</f>
        <v>0</v>
      </c>
      <c r="E123" s="2">
        <f>SUMIFS(base[L/P Líquido],base[Data],Extrato!$B123,base[Método],Extrato!E$3,base[Exchange],"Fulltbet")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9.3100000000000023</v>
      </c>
      <c r="I123" s="2">
        <f>SUMIF(BetFlow!B:B,B123,BetFlow!J:J)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4.7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3574.7513500000005</v>
      </c>
    </row>
    <row r="124" spans="2:42" ht="15" customHeight="1">
      <c r="B124" s="33">
        <v>46114</v>
      </c>
      <c r="C124" s="2">
        <f t="shared" si="7"/>
        <v>3574.7513500000005</v>
      </c>
      <c r="D124" s="2">
        <f>SUMIFS(base[L/P Líquido],base[Data],Extrato!$B124,base[Método],Extrato!D$3)</f>
        <v>55.71</v>
      </c>
      <c r="E124" s="2">
        <f>SUMIFS(base[L/P Líquido],base[Data],Extrato!$B124,base[Método],Extrato!E$3,base[Exchange],"Fulltbet")</f>
        <v>0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163.32</v>
      </c>
      <c r="I124" s="2">
        <f>SUMIF(BetFlow!B:B,B124,BetFlow!J:J)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31.83</v>
      </c>
      <c r="L124" s="2">
        <f>SUMIFS(base[L/P Líquido],base[Data],Extrato!$B124,base[Método],Extrato!L$3)</f>
        <v>0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3825.6113500000006</v>
      </c>
    </row>
    <row r="125" spans="2:42" ht="15" customHeight="1">
      <c r="B125" s="33">
        <v>46115</v>
      </c>
      <c r="C125" s="2">
        <f t="shared" si="7"/>
        <v>3825.6113500000006</v>
      </c>
      <c r="D125" s="2">
        <f>SUMIFS(base[L/P Líquido],base[Data],Extrato!$B125,base[Método],Extrato!D$3)</f>
        <v>0</v>
      </c>
      <c r="E125" s="2">
        <f>SUMIFS(base[L/P Líquido],base[Data],Extrato!$B125,base[Método],Extrato!E$3,base[Exchange],"Fulltbet")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68.48</v>
      </c>
      <c r="I125" s="2">
        <f>SUMIF(BetFlow!B:B,B125,BetFlow!J:J)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29.5</v>
      </c>
      <c r="L125" s="2">
        <f>SUMIFS(base[L/P Líquido],base[Data],Extrato!$B125,base[Método],Extrato!L$3)</f>
        <v>0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3953.7113500000005</v>
      </c>
    </row>
    <row r="126" spans="2:42" ht="15" customHeight="1">
      <c r="B126" s="33">
        <v>46116</v>
      </c>
      <c r="C126" s="2">
        <f t="shared" si="7"/>
        <v>3953.7113500000005</v>
      </c>
      <c r="D126" s="2">
        <f>SUMIFS(base[L/P Líquido],base[Data],Extrato!$B126,base[Método],Extrato!D$3)</f>
        <v>0</v>
      </c>
      <c r="E126" s="2">
        <f>SUMIFS(base[L/P Líquido],base[Data],Extrato!$B126,base[Método],Extrato!E$3,base[Exchange],"Fulltbet")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-257.5</v>
      </c>
      <c r="I126" s="2">
        <f>SUMIF(BetFlow!B:B,B126,BetFlow!J:J)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112.49</v>
      </c>
      <c r="L126" s="2">
        <f>SUMIFS(base[L/P Líquido],base[Data],Extrato!$B126,base[Método],Extrato!L$3)</f>
        <v>0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3808.6913500000001</v>
      </c>
    </row>
    <row r="127" spans="2:42" ht="15" customHeight="1">
      <c r="B127" s="33">
        <v>46117</v>
      </c>
      <c r="C127" s="2">
        <f t="shared" si="7"/>
        <v>3808.6913500000001</v>
      </c>
      <c r="D127" s="2">
        <f>SUMIFS(base[L/P Líquido],base[Data],Extrato!$B127,base[Método],Extrato!D$3)</f>
        <v>69.92</v>
      </c>
      <c r="E127" s="2">
        <f>SUMIFS(base[L/P Líquido],base[Data],Extrato!$B127,base[Método],Extrato!E$3,base[Exchange],"Fulltbet")</f>
        <v>39.159999999999997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87.85</v>
      </c>
      <c r="I127" s="2">
        <f>SUMIF(BetFlow!B:B,B127,BetFlow!J:J)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4005.6113499999997</v>
      </c>
    </row>
    <row r="128" spans="2:42" ht="15" customHeight="1">
      <c r="B128" s="33">
        <v>46118</v>
      </c>
      <c r="C128" s="2">
        <f t="shared" si="7"/>
        <v>4005.6113499999997</v>
      </c>
      <c r="D128" s="2">
        <f>SUMIFS(base[L/P Líquido],base[Data],Extrato!$B128,base[Método],Extrato!D$3)</f>
        <v>0</v>
      </c>
      <c r="E128" s="2">
        <f>SUMIFS(base[L/P Líquido],base[Data],Extrato!$B128,base[Método],Extrato!E$3,base[Exchange],"Fulltbet")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-315</v>
      </c>
      <c r="I128" s="2">
        <f>SUMIF(BetFlow!B:B,B128,BetFlow!J:J)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3709.1613499999994</v>
      </c>
    </row>
    <row r="129" spans="2:42" ht="15" customHeight="1">
      <c r="B129" s="33">
        <v>46119</v>
      </c>
      <c r="C129" s="2">
        <f t="shared" si="7"/>
        <v>3709.1613499999994</v>
      </c>
      <c r="D129" s="2">
        <f>SUMIFS(base[L/P Líquido],base[Data],Extrato!$B129,base[Método],Extrato!D$3)</f>
        <v>0</v>
      </c>
      <c r="E129" s="2">
        <f>SUMIFS(base[L/P Líquido],base[Data],Extrato!$B129,base[Método],Extrato!E$3,base[Exchange],"Fulltbet")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-18.5</v>
      </c>
      <c r="I129" s="2">
        <f>SUMIF(BetFlow!B:B,B129,BetFlow!J:J)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40.81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3765.3213499999993</v>
      </c>
    </row>
    <row r="130" spans="2:42" ht="15" customHeight="1">
      <c r="B130" s="33">
        <v>46120</v>
      </c>
      <c r="C130" s="2">
        <f t="shared" si="7"/>
        <v>3765.3213499999993</v>
      </c>
      <c r="D130" s="2">
        <f>SUMIFS(base[L/P Líquido],base[Data],Extrato!$B130,base[Método],Extrato!D$3)</f>
        <v>0</v>
      </c>
      <c r="E130" s="2">
        <f>SUMIFS(base[L/P Líquido],base[Data],Extrato!$B130,base[Método],Extrato!E$3,base[Exchange],"Fulltbet")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-89.47</v>
      </c>
      <c r="I130" s="2">
        <f>SUMIF(BetFlow!B:B,B130,BetFlow!J:J)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33.83</v>
      </c>
      <c r="W130" s="2">
        <f>SUMIFS(base[L/P Líquido],base[Data],Extrato!$B130,base[Método],Extrato!W$3)</f>
        <v>4.18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3741.8413499999988</v>
      </c>
    </row>
    <row r="131" spans="2:42" ht="15" customHeight="1">
      <c r="B131" s="33">
        <v>46121</v>
      </c>
      <c r="C131" s="2">
        <f t="shared" si="7"/>
        <v>3741.8413499999988</v>
      </c>
      <c r="D131" s="2">
        <f>SUMIFS(base[L/P Líquido],base[Data],Extrato!$B131,base[Método],Extrato!D$3)</f>
        <v>0</v>
      </c>
      <c r="E131" s="2">
        <f>SUMIFS(base[L/P Líquido],base[Data],Extrato!$B131,base[Método],Extrato!E$3,base[Exchange],"Fulltbet")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SUMIF(BetFlow!B:B,B131,BetFlow!J:J)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51.73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3793.5713499999988</v>
      </c>
    </row>
    <row r="132" spans="2:42" ht="15" customHeight="1">
      <c r="B132" s="33">
        <v>46122</v>
      </c>
      <c r="C132" s="2">
        <f t="shared" si="7"/>
        <v>3793.5713499999988</v>
      </c>
      <c r="D132" s="2">
        <f>SUMIFS(base[L/P Líquido],base[Data],Extrato!$B132,base[Método],Extrato!D$3)</f>
        <v>0</v>
      </c>
      <c r="E132" s="2">
        <f>SUMIFS(base[L/P Líquido],base[Data],Extrato!$B132,base[Método],Extrato!E$3,base[Exchange],"Fulltbet")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-81.639999999999986</v>
      </c>
      <c r="I132" s="2">
        <f>SUMIF(BetFlow!B:B,B132,BetFlow!J:J)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35.26</v>
      </c>
      <c r="L132" s="2">
        <f>SUMIFS(base[L/P Líquido],base[Data],Extrato!$B132,base[Método],Extrato!L$3)</f>
        <v>0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3727.0013499999986</v>
      </c>
    </row>
    <row r="133" spans="2:42" ht="15" customHeight="1">
      <c r="B133" s="33">
        <v>46123</v>
      </c>
      <c r="C133" s="2">
        <f t="shared" si="7"/>
        <v>3727.0013499999986</v>
      </c>
      <c r="D133" s="2">
        <f>SUMIFS(base[L/P Líquido],base[Data],Extrato!$B133,base[Método],Extrato!D$3)</f>
        <v>0</v>
      </c>
      <c r="E133" s="2">
        <f>SUMIFS(base[L/P Líquido],base[Data],Extrato!$B133,base[Método],Extrato!E$3,base[Exchange],"Fulltbet")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-121.79999999999997</v>
      </c>
      <c r="I133" s="2">
        <f>SUMIF(BetFlow!B:B,B133,BetFlow!J:J)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-701.6400000000001</v>
      </c>
      <c r="L133" s="2">
        <f>SUMIFS(base[L/P Líquido],base[Data],Extrato!$B133,base[Método],Extrato!L$3)</f>
        <v>0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2975.181349999998</v>
      </c>
    </row>
    <row r="134" spans="2:42" ht="15" customHeight="1">
      <c r="B134" s="33">
        <v>46124</v>
      </c>
      <c r="C134" s="2">
        <f t="shared" si="7"/>
        <v>2975.181349999998</v>
      </c>
      <c r="D134" s="2">
        <f>SUMIFS(base[L/P Líquido],base[Data],Extrato!$B134,base[Método],Extrato!D$3)</f>
        <v>0</v>
      </c>
      <c r="E134" s="2">
        <f>SUMIFS(base[L/P Líquido],base[Data],Extrato!$B134,base[Método],Extrato!E$3,base[Exchange],"Fulltbet")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-339.93</v>
      </c>
      <c r="I134" s="2">
        <f>SUMIF(BetFlow!B:B,B134,BetFlow!J:J)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17.59</v>
      </c>
      <c r="L134" s="2">
        <f>SUMIFS(base[L/P Líquido],base[Data],Extrato!$B134,base[Método],Extrato!L$3)</f>
        <v>0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2802.8613499999988</v>
      </c>
    </row>
    <row r="135" spans="2:42" ht="15" customHeight="1">
      <c r="B135" s="33">
        <v>46125</v>
      </c>
      <c r="C135" s="2">
        <f t="shared" si="7"/>
        <v>2802.8613499999988</v>
      </c>
      <c r="D135" s="2">
        <f>SUMIFS(base[L/P Líquido],base[Data],Extrato!$B135,base[Método],Extrato!D$3)</f>
        <v>-350</v>
      </c>
      <c r="E135" s="2">
        <f>SUMIFS(base[L/P Líquido],base[Data],Extrato!$B135,base[Método],Extrato!E$3,base[Exchange],"Fulltbet")</f>
        <v>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SUMIF(BetFlow!B:B,B135,BetFlow!J:J)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2452.8613499999988</v>
      </c>
    </row>
    <row r="136" spans="2:42" ht="15" customHeight="1">
      <c r="B136" s="33">
        <v>46126</v>
      </c>
      <c r="C136" s="2">
        <f t="shared" si="7"/>
        <v>2452.8613499999988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Líquido],base[Data],Extrato!$B136,base[Método],Extrato!E$3,base[Exchange],"Fulltbet")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SUMIF(BetFlow!B:B,B136,BetFlow!J:J)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20.079999999999998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2487.411349999998</v>
      </c>
    </row>
    <row r="137" spans="2:42" ht="15" customHeight="1">
      <c r="B137" s="33">
        <v>46127</v>
      </c>
      <c r="C137" s="2">
        <f t="shared" si="7"/>
        <v>2487.411349999998</v>
      </c>
      <c r="D137" s="2">
        <f>SUMIFS(base[L/P Líquido],base[Data],Extrato!$B137,base[Método],Extrato!D$3)</f>
        <v>0</v>
      </c>
      <c r="E137" s="2">
        <f>SUMIFS(base[L/P Líquido],base[Data],Extrato!$B137,base[Método],Extrato!E$3,base[Exchange],"Fulltbet")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SUMIF(BetFlow!B:B,B137,BetFlow!J:J)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2508.2313499999982</v>
      </c>
    </row>
    <row r="138" spans="2:42" ht="15" customHeight="1">
      <c r="B138" s="33">
        <v>46128</v>
      </c>
      <c r="C138" s="2">
        <f t="shared" si="7"/>
        <v>2508.2313499999982</v>
      </c>
      <c r="D138" s="2">
        <f>SUMIFS(base[L/P Líquido],base[Data],Extrato!$B138,base[Método],Extrato!D$3)</f>
        <v>0</v>
      </c>
      <c r="E138" s="2">
        <f>SUMIFS(base[L/P Líquido],base[Data],Extrato!$B138,base[Método],Extrato!E$3,base[Exchange],"Fulltbet")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SUMIF(BetFlow!B:B,B138,BetFlow!J:J)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2587.6313499999983</v>
      </c>
    </row>
    <row r="139" spans="2:42" ht="15" customHeight="1">
      <c r="B139" s="33">
        <v>46129</v>
      </c>
      <c r="C139" s="2">
        <f t="shared" si="7"/>
        <v>2587.6313499999983</v>
      </c>
      <c r="D139" s="2">
        <f>SUMIFS(base[L/P Líquido],base[Data],Extrato!$B139,base[Método],Extrato!D$3)</f>
        <v>55.21</v>
      </c>
      <c r="E139" s="2">
        <f>SUMIFS(base[L/P Líquido],base[Data],Extrato!$B139,base[Método],Extrato!E$3,base[Exchange],"Fulltbet")</f>
        <v>64.249849999999995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SUMIF(BetFlow!B:B,B139,BetFlow!J:J)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83.37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2779.1210499999984</v>
      </c>
    </row>
    <row r="140" spans="2:42" ht="15" customHeight="1">
      <c r="B140" s="33">
        <v>46130</v>
      </c>
      <c r="C140" s="2">
        <f t="shared" si="7"/>
        <v>2779.1210499999984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Líquido],base[Data],Extrato!$B140,base[Método],Extrato!E$3,base[Exchange],"Fulltbet")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SUMIF(BetFlow!B:B,B140,BetFlow!J:J)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3113.9610499999985</v>
      </c>
    </row>
    <row r="141" spans="2:42" ht="15" customHeight="1">
      <c r="B141" s="33">
        <v>46131</v>
      </c>
      <c r="C141" s="2">
        <f t="shared" si="7"/>
        <v>3113.9610499999985</v>
      </c>
      <c r="D141" s="2">
        <f>SUMIFS(base[L/P Líquido],base[Data],Extrato!$B141,base[Método],Extrato!D$3)</f>
        <v>177.16</v>
      </c>
      <c r="E141" s="2">
        <f>SUMIFS(base[L/P Líquido],base[Data],Extrato!$B141,base[Método],Extrato!E$3,base[Exchange],"Fulltbet")</f>
        <v>0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SUMIF(BetFlow!B:B,B141,BetFlow!J:J)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20.62</v>
      </c>
      <c r="L141" s="2">
        <f>SUMIFS(base[L/P Líquido],base[Data],Extrato!$B141,base[Método],Extrato!L$3)</f>
        <v>0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33.61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3249.9110499999983</v>
      </c>
    </row>
    <row r="142" spans="2:42" ht="15" customHeight="1">
      <c r="B142" s="33">
        <v>46132</v>
      </c>
      <c r="C142" s="2">
        <f t="shared" si="7"/>
        <v>3249.9110499999983</v>
      </c>
      <c r="D142" s="2">
        <f>SUMIFS(base[L/P Líquido],base[Data],Extrato!$B142,base[Método],Extrato!D$3)</f>
        <v>0</v>
      </c>
      <c r="E142" s="2">
        <f>SUMIFS(base[L/P Líquido],base[Data],Extrato!$B142,base[Método],Extrato!E$3,base[Exchange],"Fulltbet")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SUMIF(BetFlow!B:B,B142,BetFlow!J:J)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31.040000000000003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3195.5910499999982</v>
      </c>
    </row>
    <row r="143" spans="2:42" ht="15" customHeight="1">
      <c r="B143" s="33">
        <v>46133</v>
      </c>
      <c r="C143" s="2">
        <f t="shared" si="7"/>
        <v>3195.5910499999982</v>
      </c>
      <c r="D143" s="2">
        <f>SUMIFS(base[L/P Líquido],base[Data],Extrato!$B143,base[Método],Extrato!D$3)</f>
        <v>0</v>
      </c>
      <c r="E143" s="2">
        <f>SUMIFS(base[L/P Líquido],base[Data],Extrato!$B143,base[Método],Extrato!E$3,base[Exchange],"Fulltbet")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SUMIF(BetFlow!B:B,B143,BetFlow!J:J)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14.809999999999999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3395.2790499999978</v>
      </c>
    </row>
    <row r="144" spans="2:42" ht="15" customHeight="1">
      <c r="B144" s="33">
        <v>46134</v>
      </c>
      <c r="C144" s="2">
        <f t="shared" si="7"/>
        <v>3395.2790499999978</v>
      </c>
      <c r="D144" s="2">
        <f>SUMIFS(base[L/P Líquido],base[Data],Extrato!$B144,base[Método],Extrato!D$3)</f>
        <v>88.070099999999996</v>
      </c>
      <c r="E144" s="2">
        <f>SUMIFS(base[L/P Líquido],base[Data],Extrato!$B144,base[Método],Extrato!E$3,base[Exchange],"Fulltbet")</f>
        <v>54.900000000000006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SUMIF(BetFlow!B:B,B144,BetFlow!J:J)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26.07</v>
      </c>
      <c r="L144" s="2">
        <f>SUMIFS(base[L/P Líquido],base[Data],Extrato!$B144,base[Método],Extrato!L$3)</f>
        <v>0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-504.96</v>
      </c>
      <c r="W144" s="2">
        <f>SUMIFS(base[L/P Líquido],base[Data],Extrato!$B144,base[Método],Extrato!W$3)</f>
        <v>-68.23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2794.9376999999981</v>
      </c>
    </row>
    <row r="145" spans="2:76" ht="15" customHeight="1">
      <c r="B145" s="33">
        <v>46135</v>
      </c>
      <c r="C145" s="2">
        <f t="shared" si="7"/>
        <v>2794.9376999999981</v>
      </c>
      <c r="D145" s="2">
        <f>SUMIFS(base[L/P Líquido],base[Data],Extrato!$B145,base[Método],Extrato!D$3)</f>
        <v>0</v>
      </c>
      <c r="E145" s="2">
        <f>SUMIFS(base[L/P Líquido],base[Data],Extrato!$B145,base[Método],Extrato!E$3,base[Exchange],"Fulltbet")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SUMIF(BetFlow!B:B,B145,BetFlow!J:J)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2807.3576999999982</v>
      </c>
    </row>
    <row r="146" spans="2:76" ht="15" customHeight="1">
      <c r="B146" s="33">
        <v>46136</v>
      </c>
      <c r="C146" s="2">
        <f t="shared" si="7"/>
        <v>2807.3576999999982</v>
      </c>
      <c r="D146" s="2">
        <f>SUMIFS(base[L/P Líquido],base[Data],Extrato!$B146,base[Método],Extrato!D$3)</f>
        <v>125.85</v>
      </c>
      <c r="E146" s="2">
        <f>SUMIFS(base[L/P Líquido],base[Data],Extrato!$B146,base[Método],Extrato!E$3,base[Exchange],"Fulltbet")</f>
        <v>41.71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SUMIF(BetFlow!B:B,B146,BetFlow!J:J)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2747.3176999999982</v>
      </c>
    </row>
    <row r="147" spans="2:76" ht="15" customHeight="1">
      <c r="B147" s="33">
        <v>46137</v>
      </c>
      <c r="C147" s="2">
        <f t="shared" si="7"/>
        <v>2747.3176999999982</v>
      </c>
      <c r="D147" s="2">
        <f>SUMIFS(base[L/P Líquido],base[Data],Extrato!$B147,base[Método],Extrato!D$3)</f>
        <v>52.23</v>
      </c>
      <c r="E147" s="2">
        <f>SUMIFS(base[L/P Líquido],base[Data],Extrato!$B147,base[Método],Extrato!E$3,base[Exchange],"Fulltbet")</f>
        <v>125.96940000000001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SUMIF(BetFlow!B:B,B147,BetFlow!J:J)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50.62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2964.3217499999982</v>
      </c>
    </row>
    <row r="148" spans="2:76" ht="15" customHeight="1">
      <c r="B148" s="33">
        <v>46138</v>
      </c>
      <c r="C148" s="2">
        <f t="shared" si="7"/>
        <v>2964.3217499999982</v>
      </c>
      <c r="D148" s="2">
        <f>SUMIFS(base[L/P Líquido],base[Data],Extrato!$B148,base[Método],Extrato!D$3)</f>
        <v>121.9</v>
      </c>
      <c r="E148" s="2">
        <f>SUMIFS(base[L/P Líquido],base[Data],Extrato!$B148,base[Método],Extrato!E$3,base[Exchange],"Fulltbet")</f>
        <v>55.153149999999997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SUMIF(BetFlow!B:B,B148,BetFlow!J:J)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39.200000000000003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3189.7064499999988</v>
      </c>
    </row>
    <row r="149" spans="2:76" ht="15" customHeight="1">
      <c r="B149" s="33">
        <v>46139</v>
      </c>
      <c r="C149" s="2">
        <f t="shared" si="7"/>
        <v>3189.7064499999988</v>
      </c>
      <c r="D149" s="2">
        <f>SUMIFS(base[L/P Líquido],base[Data],Extrato!$B149,base[Método],Extrato!D$3)</f>
        <v>0</v>
      </c>
      <c r="E149" s="2">
        <f>SUMIFS(base[L/P Líquido],base[Data],Extrato!$B149,base[Método],Extrato!E$3,base[Exchange],"Fulltbet")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SUMIF(BetFlow!B:B,B149,BetFlow!J:J)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3191.1379499999989</v>
      </c>
    </row>
    <row r="150" spans="2:76" ht="15" customHeight="1">
      <c r="B150" s="33">
        <v>46140</v>
      </c>
      <c r="C150" s="2">
        <f t="shared" si="7"/>
        <v>3191.1379499999989</v>
      </c>
      <c r="D150" s="2">
        <f>SUMIFS(base[L/P Líquido],base[Data],Extrato!$B150,base[Método],Extrato!D$3)</f>
        <v>0</v>
      </c>
      <c r="E150" s="2">
        <f>SUMIFS(base[L/P Líquido],base[Data],Extrato!$B150,base[Método],Extrato!E$3,base[Exchange],"Fulltbet")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SUMIF(BetFlow!B:B,B150,BetFlow!J:J)</f>
        <v>-13.26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20.95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3179.9179499999987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3179.9179499999987</v>
      </c>
      <c r="D151" s="2">
        <f>SUMIFS(base[L/P Líquido],base[Data],Extrato!$B151,base[Método],Extrato!D$3)</f>
        <v>0</v>
      </c>
      <c r="E151" s="2">
        <f>SUMIFS(base[L/P Líquido],base[Data],Extrato!$B151,base[Método],Extrato!E$3,base[Exchange],"Fulltbet")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SUMIF(BetFlow!B:B,B151,BetFlow!J:J)</f>
        <v>21.328399999999998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22.472299999999997</v>
      </c>
      <c r="L151" s="2">
        <f>SUMIFS(base[L/P Líquido],base[Data],Extrato!$B151,base[Método],Extrato!L$3)</f>
        <v>0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3238.9915499999988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3238.9915499999988</v>
      </c>
      <c r="D152" s="2">
        <f>SUMIFS(base[L/P Líquido],base[Data],Extrato!$B152,base[Método],Extrato!D$3)</f>
        <v>0</v>
      </c>
      <c r="E152" s="2">
        <f>SUMIFS(base[L/P Líquido],base[Data],Extrato!$B152,base[Método],Extrato!E$3,base[Exchange],"Fulltbet")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SUMIF(BetFlow!B:B,B152,BetFlow!J:J)</f>
        <v>-19.944799999999997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3874.0367499999984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3874.0367499999984</v>
      </c>
      <c r="D153" s="2">
        <f>SUMIFS(base[L/P Líquido],base[Data],Extrato!$B153,base[Método],Extrato!D$3)</f>
        <v>0</v>
      </c>
      <c r="E153" s="2">
        <f>SUMIFS(base[L/P Líquido],base[Data],Extrato!$B153,base[Método],Extrato!E$3,base[Exchange],"Fulltbet")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-267.02</v>
      </c>
      <c r="I153" s="2">
        <f>SUMIF(BetFlow!B:B,B153,BetFlow!J:J)</f>
        <v>1.4301999999999992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3678.6169499999983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3678.6169499999983</v>
      </c>
      <c r="D154" s="2">
        <f>SUMIFS(base[L/P Líquido],base[Data],Extrato!$B154,base[Método],Extrato!D$3)</f>
        <v>-435.01</v>
      </c>
      <c r="E154" s="2">
        <f>SUMIFS(base[L/P Líquido],base[Data],Extrato!$B154,base[Método],Extrato!E$3,base[Exchange],"Fulltbet")</f>
        <v>253.52159999999998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-230.47</v>
      </c>
      <c r="I154" s="2">
        <f>SUMIF(BetFlow!B:B,B154,BetFlow!J:J)</f>
        <v>530.72630000000004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69.489999999999995</v>
      </c>
      <c r="L154" s="2">
        <f>SUMIFS(base[L/P Líquido],base[Data],Extrato!$B154,base[Método],Extrato!L$3)</f>
        <v>0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60.31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3889.0680999999981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3889.0680999999981</v>
      </c>
      <c r="D155" s="2">
        <f>SUMIFS(base[L/P Líquido],base[Data],Extrato!$B155,base[Método],Extrato!D$3)</f>
        <v>-296.73</v>
      </c>
      <c r="E155" s="2">
        <f>SUMIFS(base[L/P Líquido],base[Data],Extrato!$B155,base[Método],Extrato!E$3,base[Exchange],"Fulltbet")</f>
        <v>59.239999999999995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78.09</v>
      </c>
      <c r="I155" s="2">
        <f>SUMIF(BetFlow!B:B,B155,BetFlow!J:J)</f>
        <v>-82.76149999999997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102.92</v>
      </c>
      <c r="L155" s="2">
        <f>SUMIFS(base[L/P Líquido],base[Data],Extrato!$B155,base[Método],Extrato!L$3)</f>
        <v>0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3705.926599999998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3705.926599999998</v>
      </c>
      <c r="D156" s="2">
        <f>SUMIFS(base[L/P Líquido],base[Data],Extrato!$B156,base[Método],Extrato!D$3)</f>
        <v>53.37</v>
      </c>
      <c r="E156" s="2">
        <f>SUMIFS(base[L/P Líquido],base[Data],Extrato!$B156,base[Método],Extrato!E$3,base[Exchange],"Fulltbet")</f>
        <v>0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49.05</v>
      </c>
      <c r="I156" s="2">
        <f>SUMIF(BetFlow!B:B,B156,BetFlow!J:J)</f>
        <v>-25.305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3802.3315999999982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3802.3315999999982</v>
      </c>
      <c r="D157" s="2">
        <f>SUMIFS(base[L/P Líquido],base[Data],Extrato!$B157,base[Método],Extrato!D$3)</f>
        <v>0</v>
      </c>
      <c r="E157" s="2">
        <f>SUMIFS(base[L/P Líquido],base[Data],Extrato!$B157,base[Método],Extrato!E$3,base[Exchange],"Fulltbet")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SUMIF(BetFlow!B:B,B157,BetFlow!J:J)</f>
        <v>-39.90100000000001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3754.7605999999987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3754.7605999999987</v>
      </c>
      <c r="D158" s="2">
        <f>SUMIFS(base[L/P Líquido],base[Data],Extrato!$B158,base[Método],Extrato!D$3)</f>
        <v>0</v>
      </c>
      <c r="E158" s="2">
        <f>SUMIFS(base[L/P Líquido],base[Data],Extrato!$B158,base[Método],Extrato!E$3,base[Exchange],"Fulltbet")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SUMIF(BetFlow!B:B,B158,BetFlow!J:J)</f>
        <v>-120.0586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3627.4719999999988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3627.4719999999988</v>
      </c>
      <c r="D159" s="2">
        <f>SUMIFS(base[L/P Líquido],base[Data],Extrato!$B159,base[Método],Extrato!D$3)</f>
        <v>0</v>
      </c>
      <c r="E159" s="2">
        <f>SUMIFS(base[L/P Líquido],base[Data],Extrato!$B159,base[Método],Extrato!E$3,base[Exchange],"Fulltbet")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SUMIF(BetFlow!B:B,B159,BetFlow!J:J)</f>
        <v>-55.155999999999999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3633.9859999999985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3633.9859999999985</v>
      </c>
      <c r="D160" s="2">
        <f>SUMIFS(base[L/P Líquido],base[Data],Extrato!$B160,base[Método],Extrato!D$3)</f>
        <v>76.686499999999995</v>
      </c>
      <c r="E160" s="2">
        <f>SUMIFS(base[L/P Líquido],base[Data],Extrato!$B160,base[Método],Extrato!E$3,base[Exchange],"Fulltbet")</f>
        <v>93.27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-222.97</v>
      </c>
      <c r="I160" s="2">
        <f>SUMIF(BetFlow!B:B,B160,BetFlow!J:J)</f>
        <v>-99.767999999999986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3506.2368499999984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3506.2368499999984</v>
      </c>
      <c r="D161" s="2">
        <f>SUMIFS(base[L/P Líquido],base[Data],Extrato!$B161,base[Método],Extrato!D$3)</f>
        <v>0</v>
      </c>
      <c r="E161" s="2">
        <f>SUMIFS(base[L/P Líquido],base[Data],Extrato!$B161,base[Método],Extrato!E$3,base[Exchange],"Fulltbet")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-95.78000000000003</v>
      </c>
      <c r="I161" s="2">
        <f>SUMIF(BetFlow!B:B,B161,BetFlow!J:J)</f>
        <v>9.8780000000000001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73.360000000000014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3279.2249499999984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3279.2249499999984</v>
      </c>
      <c r="D162" s="2">
        <f>SUMIFS(base[L/P Líquido],base[Data],Extrato!$B162,base[Método],Extrato!D$3)</f>
        <v>0</v>
      </c>
      <c r="E162" s="2">
        <f>SUMIFS(base[L/P Líquido],base[Data],Extrato!$B162,base[Método],Extrato!E$3,base[Exchange],"Fulltbet")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105.46</v>
      </c>
      <c r="I162" s="2">
        <f>SUMIF(BetFlow!B:B,B162,BetFlow!J:J)</f>
        <v>88.642300000000006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3532.1572499999988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3532.1572499999988</v>
      </c>
      <c r="D163" s="2">
        <f>SUMIFS(base[L/P Líquido],base[Data],Extrato!$B163,base[Método],Extrato!D$3)</f>
        <v>0</v>
      </c>
      <c r="E163" s="2">
        <f>SUMIFS(base[L/P Líquido],base[Data],Extrato!$B163,base[Método],Extrato!E$3,base[Exchange],"Fulltbet")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157.91</v>
      </c>
      <c r="I163" s="2">
        <f>SUMIF(BetFlow!B:B,B163,BetFlow!J:J)</f>
        <v>36.135999999999996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3819.9765999999986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3819.9765999999986</v>
      </c>
      <c r="D164" s="2">
        <f>SUMIFS(base[L/P Líquido],base[Data],Extrato!$B164,base[Método],Extrato!D$3)</f>
        <v>94.92</v>
      </c>
      <c r="E164" s="2">
        <f>SUMIFS(base[L/P Líquido],base[Data],Extrato!$B164,base[Método],Extrato!E$3,base[Exchange],"Fulltbet")</f>
        <v>0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159.91000000000003</v>
      </c>
      <c r="I164" s="2">
        <f>SUMIF(BetFlow!B:B,B164,BetFlow!J:J)</f>
        <v>62.505399999999995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52.524999999999999</v>
      </c>
      <c r="L164" s="2">
        <f>SUMIFS(base[L/P Líquido],base[Data],Extrato!$B164,base[Método],Extrato!L$3)</f>
        <v>0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69.790000000000006</v>
      </c>
      <c r="E165" s="2">
        <f>SUMIFS(base[L/P Líquido],base[Data],Extrato!$B165,base[Método],Extrato!E$3,base[Exchange],"Fulltbet")</f>
        <v>25.03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134.06</v>
      </c>
      <c r="I165" s="2">
        <f>SUMIF(BetFlow!B:B,B165,BetFlow!J:J)</f>
        <v>109.3447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-380.04</v>
      </c>
      <c r="L165" s="2">
        <f>SUMIFS(base[L/P Líquido],base[Data],Extrato!$B165,base[Método],Extrato!L$3)</f>
        <v>0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Líquido],base[Data],Extrato!$B166,base[Método],Extrato!E$3,base[Exchange],"Fulltbet")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SUMIF(BetFlow!B:B,B166,BetFlow!J:J)</f>
        <v>36.234399999999994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Líquido],base[Data],Extrato!$B167,base[Método],Extrato!E$3,base[Exchange],"Fulltbet")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-115</v>
      </c>
      <c r="I167" s="2">
        <f>SUMIF(BetFlow!B:B,B167,BetFlow!J:J)</f>
        <v>13.645000000000003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Líquido],base[Data],Extrato!$B168,base[Método],Extrato!E$3,base[Exchange],"Fulltbet")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67.63</v>
      </c>
      <c r="I168" s="2">
        <f>SUMIF(BetFlow!B:B,B168,BetFlow!J:J)</f>
        <v>208.12859999999992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68.87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Líquido],base[Data],Extrato!$B169,base[Método],Extrato!E$3,base[Exchange],"Fulltbet")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-383.63</v>
      </c>
      <c r="I169" s="2">
        <f>SUMIF(BetFlow!B:B,B169,BetFlow!J:J)</f>
        <v>-12.677599999999995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Líquido],base[Data],Extrato!$B170,base[Método],Extrato!E$3,base[Exchange],"Fulltbet")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64.83</v>
      </c>
      <c r="I170" s="2">
        <f>SUMIF(BetFlow!B:B,B170,BetFlow!J:J)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Líquido],base[Data],Extrato!$B171,base[Método],Extrato!E$3,base[Exchange],"Fulltbet")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SUMIF(BetFlow!B:B,B171,BetFlow!J:J)</f>
        <v>70.116900000000001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-390.02</v>
      </c>
      <c r="E172" s="2">
        <f>SUMIFS(base[L/P Líquido],base[Data],Extrato!$B172,base[Método],Extrato!E$3,base[Exchange],"Fulltbet")</f>
        <v>-379.99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-157.51999999999998</v>
      </c>
      <c r="I172" s="2">
        <f>SUMIF(BetFlow!B:B,B172,BetFlow!J:J)</f>
        <v>23.1357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Líquido],base[Data],Extrato!$B173,base[Método],Extrato!E$3,base[Exchange],"Fulltbet")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-131.04999999999998</v>
      </c>
      <c r="I173" s="2">
        <f>SUMIF(BetFlow!B:B,B173,BetFlow!J:J)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39.07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Líquido],base[Data],Extrato!$B174,base[Método],Extrato!E$3,base[Exchange],"Fulltbet")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-115</v>
      </c>
      <c r="I174" s="2">
        <f>SUMIF(BetFlow!B:B,B174,BetFlow!J:J)</f>
        <v>-75.53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198.93539999999999</v>
      </c>
      <c r="E175" s="2">
        <f>SUMIFS(base[L/P Líquido],base[Data],Extrato!$B175,base[Método],Extrato!E$3,base[Exchange],"Fulltbet")</f>
        <v>44.96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-228.08</v>
      </c>
      <c r="I175" s="2">
        <f>SUMIF(BetFlow!B:B,B175,BetFlow!J:J)</f>
        <v>5.8918999999999961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74.760000000000005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Líquido],base[Data],Extrato!$B176,base[Método],Extrato!E$3,base[Exchange],"Fulltbet")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255.69</v>
      </c>
      <c r="I176" s="2">
        <f>SUMIF(BetFlow!B:B,B176,BetFlow!J:J)</f>
        <v>-26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142.81</v>
      </c>
      <c r="E177" s="2">
        <f>SUMIFS(base[L/P Líquido],base[Data],Extrato!$B177,base[Método],Extrato!E$3,base[Exchange],"Fulltbet")</f>
        <v>0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SUMIF(BetFlow!B:B,B177,BetFlow!J:J)</f>
        <v>-12.600000000000001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Líquido],base[Data],Extrato!$B178,base[Método],Extrato!E$3,base[Exchange],"Fulltbet")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SUMIF(BetFlow!B:B,B178,BetFlow!J:J)+12.81</f>
        <v>-2.41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34.56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Líquido],base[Data],Extrato!$B179,base[Método],Extrato!E$3,base[Exchange],"Fulltbet")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SUMIF(BetFlow!B:B,B179,BetFlow!J:J)-12.81</f>
        <v>-22.39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Líquido],base[Data],Extrato!$B180,base[Método],Extrato!E$3,base[Exchange],"Fulltbet")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SUMIF(BetFlow!B:B,B180,BetFlow!J:J)</f>
        <v>20.678800000000006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Líquido],base[Data],Extrato!$B181,base[Método],Extrato!E$3,base[Exchange],"Fulltbet")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SUMIF(BetFlow!B:B,B181,BetFlow!J:J)</f>
        <v>11.397000000000002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Líquido],base[Data],Extrato!$B182,base[Método],Extrato!E$3,base[Exchange],"Fulltbet")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SUMIF(BetFlow!B:B,B182,BetFlow!J:J)</f>
        <v>25.180000000000042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58.53</v>
      </c>
      <c r="E183" s="2">
        <f>SUMIFS(base[L/P Líquido],base[Data],Extrato!$B183,base[Método],Extrato!E$3,base[Exchange],"Fulltbet")</f>
        <v>166.63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SUMIF(BetFlow!B:B,B183,BetFlow!J:J)</f>
        <v>22.463999999999999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12.2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Líquido],base[Data],Extrato!$B184,base[Método],Extrato!E$3,base[Exchange],"Fulltbet")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SUMIF(BetFlow!B:B,B184,BetFlow!J:J)</f>
        <v>39.218900000000005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Líquido],base[Data],Extrato!$B185,base[Método],Extrato!E$3,base[Exchange],"Fulltbet")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SUMIF(BetFlow!B:B,B185,BetFlow!J:J)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38.200000000000003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Líquido],base[Data],Extrato!$B186,base[Método],Extrato!E$3,base[Exchange],"Fulltbet")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SUMIF(BetFlow!B:B,B186,BetFlow!J:J)</f>
        <v>23.6174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Líquido],base[Data],Extrato!$B187,base[Método],Extrato!E$3,base[Exchange],"Fulltbet")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SUMIF(BetFlow!B:B,B187,BetFlow!J:J)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38.200000000000003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Líquido],base[Data],Extrato!$B188,base[Método],Extrato!E$3,base[Exchange],"Fulltbet")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SUMIF(BetFlow!B:B,B188,BetFlow!J:J)-4.64</f>
        <v>-15.899999999999999</v>
      </c>
      <c r="J188" s="2">
        <f>SUMIFS(base[L/P Líquido],base[Data],Extrato!$B188,base[Método],Extrato!J$3)</f>
        <v>0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12.32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Líquido],base[Data],Extrato!$B189,base[Método],Extrato!E$3,base[Exchange],"Fulltbet")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SUMIF(BetFlow!B:B,B189,BetFlow!J:J)</f>
        <v>44.793299999999988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40.340000000000003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68.22</v>
      </c>
      <c r="E190" s="2">
        <f>SUMIFS(base[L/P Líquido],base[Data],Extrato!$B190,base[Método],Extrato!E$3,base[Exchange],"Fulltbet")</f>
        <v>0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SUMIF(BetFlow!B:B,B190,BetFlow!J:J)+4.64</f>
        <v>-14.93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-99.99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Líquido],base[Data],Extrato!$B191,base[Método],Extrato!E$3,base[Exchange],"Fulltbet")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SUMIF(BetFlow!B:B,B191,BetFlow!J:J)</f>
        <v>0</v>
      </c>
      <c r="J191" s="2">
        <f>SUMIFS(base[L/P Líquido],base[Data],Extrato!$B191,base[Método],Extrato!J$3)</f>
        <v>0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16.16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30.28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Líquido],base[Data],Extrato!$B192,base[Método],Extrato!E$3,base[Exchange],"Fulltbet")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SUMIF(BetFlow!B:B,B192,BetFlow!J:J)</f>
        <v>-2.61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53.53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89.77</v>
      </c>
      <c r="E193" s="2">
        <f>SUMIFS(base[L/P Líquido],base[Data],Extrato!$B193,base[Método],Extrato!E$3,base[Exchange],"Fulltbet")</f>
        <v>0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37.722499999999997</v>
      </c>
      <c r="H193" s="2">
        <f>SUMIFS(base[L/P Líquido],base[Data],Extrato!$B193,base[Método],Extrato!H$3)</f>
        <v>0</v>
      </c>
      <c r="I193" s="2">
        <f>SUMIF(BetFlow!B:B,B193,BetFlow!J:J)</f>
        <v>2.9224000000000006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-41.08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Líquido],base[Data],Extrato!$B194,base[Método],Extrato!E$3,base[Exchange],"Fulltbet")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SUMIF(BetFlow!B:B,B194,BetFlow!J:J)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22.51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76.400000000000006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0</v>
      </c>
      <c r="E195" s="2">
        <f>SUMIFS(base[L/P Líquido],base[Data],Extrato!$B195,base[Método],Extrato!E$3,base[Exchange],"Fulltbet")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SUMIF(BetFlow!B:B,B195,BetFlow!J:J)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35.130000000000003</v>
      </c>
      <c r="L195" s="2">
        <f>SUMIFS(base[L/P Líquido],base[Data],Extrato!$B195,base[Método],Extrato!L$3)</f>
        <v>0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65.710000000000008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152.80000000000001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Líquido],base[Data],Extrato!$B196,base[Método],Extrato!E$3,base[Exchange],"Fulltbet")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54.8</v>
      </c>
      <c r="H196" s="2">
        <f>SUMIFS(base[L/P Líquido],base[Data],Extrato!$B196,base[Método],Extrato!H$3)</f>
        <v>0</v>
      </c>
      <c r="I196" s="2">
        <f>SUMIF(BetFlow!B:B,B196,BetFlow!J:J)</f>
        <v>0</v>
      </c>
      <c r="J196" s="2">
        <f>SUMIFS(base[L/P Líquido],base[Data],Extrato!$B196,base[Método],Extrato!J$3)</f>
        <v>0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36.39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0.27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8.17</v>
      </c>
      <c r="AB196" s="2">
        <f>SUMIFS(base[L/P Líquido],base[Data],Extrato!$B196,base[Método],Extrato!AB$3)</f>
        <v>76.400000000000006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68.22</v>
      </c>
      <c r="E197" s="2">
        <f>SUMIFS(base[L/P Líquido],base[Data],Extrato!$B197,base[Método],Extrato!E$3,base[Exchange],"Fulltbet")</f>
        <v>102.8141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84.89</v>
      </c>
      <c r="H197" s="2">
        <f>SUMIFS(base[L/P Líquido],base[Data],Extrato!$B197,base[Método],Extrato!H$3)</f>
        <v>0</v>
      </c>
      <c r="I197" s="2">
        <f>SUMIF(BetFlow!B:B,B197,BetFlow!J:J)</f>
        <v>-7.1499999999999995</v>
      </c>
      <c r="J197" s="2">
        <f>SUMIFS(base[L/P Líquido],base[Data],Extrato!$B197,base[Método],Extrato!J$3)</f>
        <v>0</v>
      </c>
      <c r="K197" s="2">
        <f>SUMIFS(base[L/P Líquido],base[Data],Extrato!$B197,base[Método],Extrato!K$3)</f>
        <v>62.69</v>
      </c>
      <c r="L197" s="2">
        <f>SUMIFS(base[L/P Líquido],base[Data],Extrato!$B197,base[Método],Extrato!L$3)</f>
        <v>0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50.55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86.68</v>
      </c>
      <c r="AB197" s="2">
        <f>SUMIFS(base[L/P Líquido],base[Data],Extrato!$B197,base[Método],Extrato!AB$3)</f>
        <v>-27.399999999999991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68.22</v>
      </c>
      <c r="E198" s="2">
        <f>SUMIFS(base[L/P Líquido],base[Data],Extrato!$B198,base[Método],Extrato!E$3,base[Exchange],"Fulltbet")</f>
        <v>9.3000000000000007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SUMIF(BetFlow!B:B,B198,BetFlow!J:J)</f>
        <v>-5.16</v>
      </c>
      <c r="J198" s="2">
        <f>SUMIFS(base[L/P Líquido],base[Data],Extrato!$B198,base[Método],Extrato!J$3)</f>
        <v>0</v>
      </c>
      <c r="K198" s="2">
        <f>SUMIFS(base[L/P Líquido],base[Data],Extrato!$B198,base[Método],Extrato!K$3)</f>
        <v>29.33</v>
      </c>
      <c r="L198" s="2">
        <f>SUMIFS(base[L/P Líquido],base[Data],Extrato!$B198,base[Método],Extrato!L$3)</f>
        <v>0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54.969799999999992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36.159999999999997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35.7361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8.42</v>
      </c>
      <c r="AB198" s="2">
        <f>SUMIFS(base[L/P Líquido],base[Data],Extrato!$B198,base[Método],Extrato!AB$3)</f>
        <v>71.000000000000014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-476.84000000000003</v>
      </c>
      <c r="E199" s="2">
        <f>SUMIFS(base[L/P Líquido],base[Data],Extrato!$B199,base[Método],Extrato!E$3,base[Exchange],"Fulltbet")</f>
        <v>24.65</v>
      </c>
      <c r="F199" s="845">
        <f>SUMIFS(base[L/P Líquido],base[Data],Extrato!$B199,base[Método],Extrato!F$3)</f>
        <v>1.53</v>
      </c>
      <c r="G199" s="845">
        <f>SUMIFS(base[L/P Líquido],base[Data],Extrato!$B199,base[Método],Extrato!G$3)</f>
        <v>0</v>
      </c>
      <c r="H199" s="845">
        <f>SUMIFS(base[L/P Líquido],base[Data],Extrato!$B199,base[Método],Extrato!H$3)</f>
        <v>0</v>
      </c>
      <c r="I199" s="845">
        <f>SUMIF(BetFlow!B:B,B199,BetFlow!J:J)</f>
        <v>0</v>
      </c>
      <c r="J199" s="845">
        <f>SUMIFS(base[L/P Líquido],base[Data],Extrato!$B199,base[Método],Extrato!J$3)</f>
        <v>0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SUMIFS(base[L/P Líquido],base[Data],Extrato!$B199,base[Método],Extrato!M$3)</f>
        <v>0</v>
      </c>
      <c r="N199" s="845">
        <f>SUMIFS(base[L/P Líquido],base[Data],Extrato!$B199,base[Método],Extrato!N$3)</f>
        <v>59.992000000000004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32.135749999999994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-409.11999999999995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0</v>
      </c>
      <c r="E200" s="2">
        <f>SUMIFS(base[L/P Líquido],base[Data],Extrato!$B200,base[Método],Extrato!E$3,base[Exchange],"Fulltbet")</f>
        <v>76.05</v>
      </c>
      <c r="F200" s="845">
        <f>SUMIFS(base[L/P Líquido],base[Data],Extrato!$B200,base[Método],Extrato!F$3)</f>
        <v>0</v>
      </c>
      <c r="G200" s="845">
        <f>SUMIFS(base[L/P Líquido],base[Data],Extrato!$B200,base[Método],Extrato!G$3)</f>
        <v>0</v>
      </c>
      <c r="H200" s="845">
        <f>SUMIFS(base[L/P Líquido],base[Data],Extrato!$B200,base[Método],Extrato!H$3)</f>
        <v>0</v>
      </c>
      <c r="I200" s="845">
        <f>SUMIF(BetFlow!B:B,B200,BetFlow!J:J)</f>
        <v>0</v>
      </c>
      <c r="J200" s="845">
        <f>SUMIFS(base[L/P Líquido],base[Data],Extrato!$B200,base[Método],Extrato!J$3)</f>
        <v>0</v>
      </c>
      <c r="K200" s="845">
        <f>SUMIFS(base[L/P Líquido],base[Data],Extrato!$B200,base[Método],Extrato!K$3)</f>
        <v>33.21</v>
      </c>
      <c r="L200" s="845">
        <f>SUMIFS(base[L/P Líquido],base[Data],Extrato!$B200,base[Método],Extrato!L$3)</f>
        <v>0</v>
      </c>
      <c r="M200" s="845">
        <f>SUMIFS(base[L/P Líquido],base[Data],Extrato!$B200,base[Método],Extrato!M$3,base[Exchange],"Fulltbet")</f>
        <v>0</v>
      </c>
      <c r="N200" s="845">
        <f>SUMIFS(base[L/P Líquido],base[Data],Extrato!$B200,base[Método],Extrato!N$3,base[Exchange],"Fulltbet")</f>
        <v>22.23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0.2</v>
      </c>
      <c r="Z200" s="845">
        <f>SUMIFS(base[L/P Líquido],base[Data],Extrato!$B200,base[Método],Extrato!Z$3)</f>
        <v>0</v>
      </c>
      <c r="AA200" s="845">
        <f>SUMIFS(base[L/P Líquido],base[Data],Extrato!$B200,base[Método],Extrato!AA$3)</f>
        <v>32.949999999999996</v>
      </c>
      <c r="AB200" s="845">
        <f>SUMIFS(base[L/P Líquido],base[Data],Extrato!$B200,base[Método],Extrato!AB$3)</f>
        <v>-238.92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63.67</v>
      </c>
      <c r="E201" s="2">
        <f>SUMIFS(base[L/P Líquido],base[Data],Extrato!$B201,base[Método],Extrato!E$3,base[Exchange],"Fulltbet")</f>
        <v>70.775049999999993</v>
      </c>
      <c r="F201" s="845">
        <f>SUMIFS(base[L/P Líquido],base[Data],Extrato!$B201,base[Método],Extrato!F$3)</f>
        <v>10.65</v>
      </c>
      <c r="G201" s="845">
        <f>SUMIFS(base[L/P Líquido],base[Data],Extrato!$B201,base[Método],Extrato!G$3)</f>
        <v>0</v>
      </c>
      <c r="H201" s="845">
        <f>SUMIFS(base[L/P Líquido],base[Data],Extrato!$B201,base[Método],Extrato!H$3)</f>
        <v>0</v>
      </c>
      <c r="I201" s="845">
        <f>SUMIF(BetFlow!B:B,B201,BetFlow!J:J)</f>
        <v>-29.589999999999996</v>
      </c>
      <c r="J201" s="845">
        <f>SUMIFS(base[L/P Líquido],base[Data],Extrato!$B201,base[Método],Extrato!J$3)</f>
        <v>0</v>
      </c>
      <c r="K201" s="845">
        <f>SUMIFS(base[L/P Líquido],base[Data],Extrato!$B201,base[Método],Extrato!K$3)</f>
        <v>0</v>
      </c>
      <c r="L201" s="845">
        <f>SUMIFS(base[L/P Líquido],base[Data],Extrato!$B201,base[Método],Extrato!L$3)</f>
        <v>0</v>
      </c>
      <c r="M201" s="845">
        <f>SUMIFS(base[L/P Líquido],base[Data],Extrato!$B201,base[Método],Extrato!M$3,base[Exchange],"Fulltbet")</f>
        <v>0</v>
      </c>
      <c r="N201" s="845">
        <f>SUMIFS(base[L/P Líquido],base[Data],Extrato!$B201,base[Método],Extrato!N$3,base[Exchange],"Fulltbet")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20.100000000000001</v>
      </c>
      <c r="W201" s="845">
        <f>SUMIFS(base[L/P Líquido],base[Data],Extrato!$B201,base[Método],Extrato!W$3)</f>
        <v>0</v>
      </c>
      <c r="X201" s="845">
        <f>SUMIFS(base[L/P Líquido],base[Data],Extrato!$B201,base[Método],Extrato!X$3)</f>
        <v>0</v>
      </c>
      <c r="Y201" s="845">
        <f>SUMIFS(base[L/P Líquido],base[Data],Extrato!$B201,base[Método],Extrato!Y$3,base[Exchange],"Fulltbet")</f>
        <v>70.010000000000005</v>
      </c>
      <c r="Z201" s="845">
        <f>SUMIFS(base[L/P Líquido],base[Data],Extrato!$B201,base[Método],Extrato!Z$3,base[Exchange],"Fulltbet")</f>
        <v>0</v>
      </c>
      <c r="AA201" s="845">
        <f>SUMIFS(base[L/P Líquido],base[Data],Extrato!$B201,base[Método],Extrato!AA$3,base[Exchange],"Fulltbet")</f>
        <v>-14.82</v>
      </c>
      <c r="AB201" s="845">
        <f>SUMIFS(base[L/P Líquido],base[Data],Extrato!$B201,base[Método],Extrato!AB$3)</f>
        <v>-5.3999999999999915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-244.94000000000003</v>
      </c>
      <c r="E202" s="2">
        <f>SUMIFS(base[L/P Líquido],base[Data],Extrato!$B202,base[Método],Extrato!E$3,base[Exchange],"Fulltbet")</f>
        <v>71.759999999999991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Líquido],base[Data],Extrato!$B202,base[Método],Extrato!G$3)</f>
        <v>0</v>
      </c>
      <c r="H202" s="2">
        <f>SUMIFS(base[L/P Líquido],base[Data],Extrato!$B202,base[Método],Extrato!H$3)</f>
        <v>0</v>
      </c>
      <c r="I202" s="2">
        <f>SUMIF(BetFlow!B:B,B202,BetFlow!J:J)</f>
        <v>0</v>
      </c>
      <c r="J202" s="2">
        <f>SUMIFS(base[L/P Líquido],base[Data],Extrato!$B202,base[Método],Extrato!J$3)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0</v>
      </c>
      <c r="M202" s="2">
        <f>SUMIFS(base[L/P Líquido],base[Data],Extrato!$B202,base[Método],Extrato!M$3,base[Exchange],"Fulltbet")</f>
        <v>0</v>
      </c>
      <c r="N202" s="2">
        <f>SUMIFS(base[L/P Líquido],base[Data],Extrato!$B202,base[Método],Extrato!N$3,base[Exchange],"Fulltbet")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0</v>
      </c>
      <c r="Y202" s="2">
        <f>SUMIFS(base[L/P Líquido],base[Data],Extrato!$B202,base[Método],Extrato!Y$3,base[Exchange],"Fulltbet")</f>
        <v>66.86</v>
      </c>
      <c r="Z202" s="2">
        <f>SUMIFS(base[L/P Líquido],base[Data],Extrato!$B202,base[Método],Extrato!Z$3,base[Exchange],"Fulltbet")</f>
        <v>0</v>
      </c>
      <c r="AA202" s="2">
        <f>SUMIFS(base[L/P Líquido],base[Data],Extrato!$B202,base[Método],Extrato!AA$3,base[Exchange],"Fulltbet")</f>
        <v>-0.92</v>
      </c>
      <c r="AB202" s="2">
        <f>SUMIFS(base[L/P Líquido],base[Data],Extrato!$B202,base[Método],Extrato!AB$3)</f>
        <v>-239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Líquido],base[Data],Extrato!$B203,base[Método],Extrato!E$3,base[Exchange],"Fulltbet")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Líquido],base[Data],Extrato!$B203,base[Método],Extrato!G$3)</f>
        <v>0</v>
      </c>
      <c r="H203" s="2">
        <f>SUMIFS(base[L/P Líquido],base[Data],Extrato!$B203,base[Método],Extrato!H$3)</f>
        <v>0</v>
      </c>
      <c r="I203" s="2">
        <f>SUMIF(BetFlow!B:B,B203,BetFlow!J:J)</f>
        <v>0</v>
      </c>
      <c r="J203" s="2">
        <f>SUMIFS(base[L/P Líquido],base[Data],Extrato!$B203,base[Método],Extrato!J$3)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0</v>
      </c>
      <c r="M203" s="2">
        <f>SUMIFS(base[L/P Líquido],base[Data],Extrato!$B203,base[Método],Extrato!M$3,base[Exchange],"Fulltbet")</f>
        <v>0</v>
      </c>
      <c r="N203" s="2">
        <f>SUMIFS(base[L/P Líquido],base[Data],Extrato!$B203,base[Método],Extrato!N$3,base[Exchange],"Fulltbet")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19.099999999999998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0</v>
      </c>
      <c r="Y203" s="2">
        <f>SUMIFS(base[L/P Líquido],base[Data],Extrato!$B203,base[Método],Extrato!Y$3,base[Exchange],"Fulltbet")</f>
        <v>39.97</v>
      </c>
      <c r="Z203" s="2">
        <f>SUMIFS(base[L/P Líquido],base[Data],Extrato!$B203,base[Método],Extrato!Z$3,base[Exchange],"Fulltbet")</f>
        <v>0</v>
      </c>
      <c r="AA203" s="2">
        <f>SUMIFS(base[L/P Líquido],base[Data],Extrato!$B203,base[Método],Extrato!AA$3,base[Exchange],"Fulltbet")</f>
        <v>-13.480000000000006</v>
      </c>
      <c r="AB203" s="2">
        <f>SUMIFS(base[L/P Líquido],base[Data],Extrato!$B203,base[Método],Extrato!AB$3)</f>
        <v>-123.47999999999999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Líquido],base[Data],Extrato!$B204,base[Método],Extrato!E$3,base[Exchange],"Fulltbet")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-72.8</v>
      </c>
      <c r="H204" s="2">
        <f>SUMIFS(base[L/P Líquido],base[Data],Extrato!$B204,base[Método],Extrato!H$3)</f>
        <v>0</v>
      </c>
      <c r="I204" s="2">
        <f>SUMIF(BetFlow!B:B,B204,BetFlow!J:J)</f>
        <v>0</v>
      </c>
      <c r="J204" s="2">
        <f>SUMIFS(base[L/P Líquido],base[Data],Extrato!$B204,base[Método],Extrato!J$3)</f>
        <v>0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0</v>
      </c>
      <c r="M204" s="2">
        <f>SUMIFS(base[L/P Líquido],base[Data],Extrato!$B204,base[Método],Extrato!M$3,base[Exchange],"Fulltbet")</f>
        <v>0</v>
      </c>
      <c r="N204" s="2">
        <f>SUMIFS(base[L/P Líquido],base[Data],Extrato!$B204,base[Método],Extrato!N$3,base[Exchange],"Fulltbet")</f>
        <v>-77.77000000000001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0</v>
      </c>
      <c r="AA204" s="2">
        <f>SUMIFS(base[L/P Líquido],base[Data],Extrato!$B204,base[Método],Extrato!AA$3,base[Exchange],"Fulltbet")</f>
        <v>-348.03</v>
      </c>
      <c r="AB204" s="2">
        <f>SUMIFS(base[L/P Líquido],base[Data],Extrato!$B204,base[Método],Extrato!AB$3)</f>
        <v>-438.85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1170.3044073268488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Líquido],base[Data],Extrato!$B205,base[Método],Extrato!D$3,base[Exchange],"Fulltbet")</f>
        <v>0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Líquido],base[Data],Extrato!$B205,base[Método],Extrato!G$3,base[Exchange],"Fulltbet")</f>
        <v>-46.370000000000005</v>
      </c>
      <c r="H205" s="2">
        <f>SUMIFS(base[L/P Líquido],base[Data],Extrato!$B205,base[Método],Extrato!H$3)</f>
        <v>0</v>
      </c>
      <c r="I205" s="2">
        <f>SUMIF(BetFlow!B:B,B205,BetFlow!J:J)</f>
        <v>0</v>
      </c>
      <c r="J205" s="2">
        <f>SUMIFS(base[L/P Líquido],base[Data],Extrato!$B205,base[Método],Extrato!J$3)</f>
        <v>0</v>
      </c>
      <c r="K205" s="2">
        <f>SUMIFS(base[L/P Líquido],base[Data],Extrato!$B205,base[Método],Extrato!K$3)</f>
        <v>40.22</v>
      </c>
      <c r="L205" s="2">
        <f>SUMIFS(base[L/P Líquido],base[Data],Extrato!$B205,base[Método],Extrato!L$3,base[Exchange],"Fulltbet")</f>
        <v>0</v>
      </c>
      <c r="M205" s="2">
        <f>SUMIFS(base[L/P Líquido],base[Data],Extrato!$B205,base[Método],Extrato!M$3,base[Exchange],"Fulltbet")</f>
        <v>0</v>
      </c>
      <c r="N205" s="2">
        <f>SUMIFS(base[L/P Líquido],base[Data],Extrato!$B205,base[Método],Extrato!N$3,base[Exchange],"Fulltbet")</f>
        <v>16.25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Líquido],base[Data],Extrato!$B205,base[Método],Extrato!V$3,base[Exchange],"Fulltbet")</f>
        <v>15.92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23.5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1170.3044073268488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1218.9044073268487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Líquido],base[Data],Extrato!$B206,base[Método],Extrato!D$3,base[Exchange],"Fulltbet")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Líquido],base[Data],Extrato!$B206,base[Método],Extrato!G$3)</f>
        <v>0</v>
      </c>
      <c r="H206" s="2">
        <f>SUMIFS(base[L/P Líquido],base[Data],Extrato!$B206,base[Método],Extrato!H$3)</f>
        <v>0</v>
      </c>
      <c r="I206" s="2">
        <f>SUMIF(BetFlow!B:B,B206,BetFlow!J:J)</f>
        <v>0</v>
      </c>
      <c r="J206" s="2">
        <f>SUMIFS(base[L/P Líquido],base[Data],Extrato!$B206,base[Método],Extrato!J$3)</f>
        <v>0</v>
      </c>
      <c r="K206" s="2">
        <f>SUMIFS(base[L/P Líquido],base[Data],Extrato!$B206,base[Método],Extrato!K$3)</f>
        <v>0</v>
      </c>
      <c r="L206" s="2">
        <f>SUMIFS(base[L/P Líquido],base[Data],Extrato!$B206,base[Método],Extrato!L$3,base[Exchange],"Fulltbet")</f>
        <v>0</v>
      </c>
      <c r="M206" s="2">
        <f>SUMIFS(base[L/P Líquido],base[Data],Extrato!$B206,base[Método],Extrato!M$3,base[Exchange],"Fulltbet")</f>
        <v>0</v>
      </c>
      <c r="N206" s="2">
        <f>SUMIFS(base[L/P Líquido],base[Data],Extrato!$B206,base[Método],Extrato!N$3,base[Exchange],"Fulltbet")</f>
        <v>37.340000000000003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0</v>
      </c>
      <c r="AA206" s="2">
        <f>SUMIFS(base[L/P Líquido],base[Data],Extrato!$B206,base[Método],Extrato!AA$3,base[Exchange],"Fulltbet")</f>
        <v>34.46555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1218.9044073268487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1346.2744073268489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Líquido],base[Data],Extrato!$B207,base[Método],Extrato!D$3,base[Exchange],"Fulltbet")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Líquido],base[Data],Extrato!$B207,base[Método],Extrato!G$3)</f>
        <v>0</v>
      </c>
      <c r="H207" s="2">
        <f>SUMIFS(base[L/P Líquido],base[Data],Extrato!$B207,base[Método],Extrato!H$3)</f>
        <v>0</v>
      </c>
      <c r="I207" s="2">
        <f>SUMIF(BetFlow!B:B,B207,BetFlow!J:J)</f>
        <v>0</v>
      </c>
      <c r="J207" s="2">
        <f>SUMIFS(base[L/P Líquido],base[Data],Extrato!$B207,base[Método],Extrato!J$3)</f>
        <v>0</v>
      </c>
      <c r="K207" s="2">
        <f>SUMIFS(base[L/P Líquido],base[Data],Extrato!$B207,base[Método],Extrato!K$3)</f>
        <v>0</v>
      </c>
      <c r="L207" s="2">
        <f>SUMIFS(base[L/P Líquido],base[Data],Extrato!$B207,base[Método],Extrato!L$3,base[Exchange],"Fulltbet")</f>
        <v>0</v>
      </c>
      <c r="M207" s="2">
        <f>SUMIFS(base[L/P Líquido],base[Data],Extrato!$B207,base[Método],Extrato!M$3,base[Exchange],"Fulltbet")</f>
        <v>0</v>
      </c>
      <c r="N207" s="2">
        <f>SUMIFS(base[L/P Líquido],base[Data],Extrato!$B207,base[Método],Extrato!N$3,base[Exchange],"Fulltbet")</f>
        <v>11.370000000000001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0</v>
      </c>
      <c r="AA207" s="2">
        <f>SUMIFS(base[L/P Líquido],base[Data],Extrato!$B207,base[Método],Extrato!AA$3,base[Exchange],"Fulltbet")</f>
        <v>-147.78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1346.2744073268489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1508.8844073268488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Líquido],base[Data],Extrato!$B208,base[Método],Extrato!D$3,base[Exchange],"Fulltbet")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Líquido],base[Data],Extrato!$B208,base[Método],Extrato!G$3)</f>
        <v>0</v>
      </c>
      <c r="H208" s="2">
        <f>SUMIFS(base[L/P Líquido],base[Data],Extrato!$B208,base[Método],Extrato!H$3)</f>
        <v>0</v>
      </c>
      <c r="I208" s="2">
        <f>SUMIF(BetFlow!B:B,B208,BetFlow!J:J)</f>
        <v>0</v>
      </c>
      <c r="J208" s="2">
        <f>SUMIFS(base[L/P Líquido],base[Data],Extrato!$B208,base[Método],Extrato!J$3)</f>
        <v>0</v>
      </c>
      <c r="K208" s="2">
        <f>SUMIFS(base[L/P Líquido],base[Data],Extrato!$B208,base[Método],Extrato!K$3)</f>
        <v>0</v>
      </c>
      <c r="L208" s="2">
        <f>SUMIFS(base[L/P Líquido],base[Data],Extrato!$B208,base[Método],Extrato!L$3,base[Exchange],"Fulltbet")</f>
        <v>0</v>
      </c>
      <c r="M208" s="2">
        <f>SUMIFS(base[L/P Líquido],base[Data],Extrato!$B208,base[Método],Extrato!M$3,base[Exchange],"Fulltbet")</f>
        <v>0</v>
      </c>
      <c r="N208" s="2">
        <f>SUMIFS(base[L/P Líquido],base[Data],Extrato!$B208,base[Método],Extrato!N$3,base[Exchange],"Fulltbet")</f>
        <v>49.89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-81.8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1508.8844073268488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1508.8844073268488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Líquido],base[Data],Extrato!$B209,base[Método],Extrato!D$3,base[Exchange],"Fulltbet")</f>
        <v>-399.37</v>
      </c>
      <c r="E209" s="2">
        <f>SUMIFS(base[L/P Líquido],base[Data],Extrato!$B209,base[Método],Extrato!E$3,base[Exchange],"Fulltbet")</f>
        <v>0</v>
      </c>
      <c r="F209" s="2">
        <f>SUMIFS(base[L/P Líquido],base[Data],Extrato!$B209,base[Método],Extrato!F$3)</f>
        <v>2.6</v>
      </c>
      <c r="G209" s="2">
        <f>SUMIFS(base[L/P Líquido],base[Data],Extrato!$B209,base[Método],Extrato!G$3)</f>
        <v>27.28</v>
      </c>
      <c r="H209" s="2">
        <f>SUMIFS(base[L/P Líquido],base[Data],Extrato!$B209,base[Método],Extrato!H$3)</f>
        <v>0</v>
      </c>
      <c r="I209" s="2">
        <f>SUMIF(BetFlow!B:B,B209,BetFlow!J:J)</f>
        <v>-6.28</v>
      </c>
      <c r="J209" s="2">
        <f>SUMIFS(base[L/P Líquido],base[Data],Extrato!$B209,base[Método],Extrato!J$3)</f>
        <v>0</v>
      </c>
      <c r="K209" s="2">
        <f>SUMIFS(base[L/P Líquido],base[Data],Extrato!$B209,base[Método],Extrato!K$3)</f>
        <v>0</v>
      </c>
      <c r="L209" s="2">
        <f>SUMIFS(base[L/P Líquido],base[Data],Extrato!$B209,base[Método],Extrato!L$3,base[Exchange],"Fulltbet")</f>
        <v>0</v>
      </c>
      <c r="M209" s="2">
        <f>SUMIFS(base[L/P Líquido],base[Data],Extrato!$B209,base[Método],Extrato!M$3,base[Exchange],"Fulltbet")</f>
        <v>0</v>
      </c>
      <c r="N209" s="2">
        <f>SUMIFS(base[L/P Líquido],base[Data],Extrato!$B209,base[Método],Extrato!N$3,base[Exchange],"Fulltbet")</f>
        <v>50.83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0</v>
      </c>
      <c r="AA209" s="2">
        <f>SUMIFS(base[L/P Líquido],base[Data],Extrato!$B209,base[Método],Extrato!AA$3,base[Exchange],"Fulltbet")</f>
        <v>5.51</v>
      </c>
      <c r="AB209" s="2">
        <f>SUMIFS(base[L/P Líquido],base[Data],Extrato!$B209,base[Método],Extrato!AB$3)</f>
        <v>78.2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1508.8844073268488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1402.9927873268487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Líquido],base[Data],Extrato!$B210,base[Método],Extrato!D$3,base[Exchange],"Fulltbet")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Líquido],base[Data],Extrato!$B210,base[Método],Extrato!G$3)</f>
        <v>0</v>
      </c>
      <c r="H210" s="2">
        <f>SUMIFS(base[L/P Líquido],base[Data],Extrato!$B210,base[Método],Extrato!H$3)</f>
        <v>0</v>
      </c>
      <c r="I210" s="2">
        <f>SUMIF(BetFlow!B:B,B210,BetFlow!J:J)</f>
        <v>0</v>
      </c>
      <c r="J210" s="2">
        <f>SUMIFS(base[L/P Líquido],base[Data],Extrato!$B210,base[Método],Extrato!J$3)</f>
        <v>0</v>
      </c>
      <c r="K210" s="2">
        <f>SUMIFS(base[L/P Líquido],base[Data],Extrato!$B210,base[Método],Extrato!K$3)</f>
        <v>0</v>
      </c>
      <c r="L210" s="2">
        <f>SUMIFS(base[L/P Líquido],base[Data],Extrato!$B210,base[Método],Extrato!L$3,base[Exchange],"Fulltbet")</f>
        <v>0</v>
      </c>
      <c r="M210" s="2">
        <f>SUMIFS(base[L/P Líquido],base[Data],Extrato!$B210,base[Método],Extrato!M$3,base[Exchange],"Fulltbet")</f>
        <v>0</v>
      </c>
      <c r="N210" s="2">
        <f>SUMIFS(base[L/P Líquido],base[Data],Extrato!$B210,base[Método],Extrato!N$3,base[Exchange],"Fulltbet")</f>
        <v>127.11999999999999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0</v>
      </c>
      <c r="AA210" s="2">
        <f>SUMIFS(base[L/P Líquido],base[Data],Extrato!$B210,base[Método],Extrato!AA$3,base[Exchange],"Fulltbet")</f>
        <v>196.53000000000003</v>
      </c>
      <c r="AB210" s="2">
        <f>SUMIFS(base[L/P Líquido],base[Data],Extrato!$B210,base[Método],Extrato!AB$3)</f>
        <v>39.28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1402.9927873268487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1370.6627873268485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Líquido],base[Data],Extrato!$B211,base[Método],Extrato!D$3,base[Exchange],"Fulltbet")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Líquido],base[Data],Extrato!$B211,base[Método],Extrato!G$3)</f>
        <v>16.43</v>
      </c>
      <c r="H211" s="2">
        <f>SUMIFS(base[L/P Líquido],base[Data],Extrato!$B211,base[Método],Extrato!H$3)</f>
        <v>0</v>
      </c>
      <c r="I211" s="2">
        <f>SUMIF(BetFlow!B:B,B211,BetFlow!J:J)</f>
        <v>0</v>
      </c>
      <c r="J211" s="2">
        <f>SUMIFS(base[L/P Líquido],base[Data],Extrato!$B211,base[Método],Extrato!J$3)</f>
        <v>0</v>
      </c>
      <c r="K211" s="2">
        <f>SUMIFS(base[L/P Líquido],base[Data],Extrato!$B211,base[Método],Extrato!K$3)</f>
        <v>0</v>
      </c>
      <c r="L211" s="2">
        <f>SUMIFS(base[L/P Líquido],base[Data],Extrato!$B211,base[Método],Extrato!L$3,base[Exchange],"Fulltbet")</f>
        <v>0</v>
      </c>
      <c r="M211" s="2">
        <f>SUMIFS(base[L/P Líquido],base[Data],Extrato!$B211,base[Método],Extrato!M$3,base[Exchange],"Fulltbet")</f>
        <v>0</v>
      </c>
      <c r="N211" s="2">
        <f>SUMIFS(base[L/P Líquido],base[Data],Extrato!$B211,base[Método],Extrato!N$3,base[Exchange],"Fulltbet")</f>
        <v>-393.7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0</v>
      </c>
      <c r="AA211" s="2">
        <f>SUMIFS(base[L/P Líquido],base[Data],Extrato!$B211,base[Método],Extrato!AA$3,base[Exchange],"Fulltbet")</f>
        <v>-117.30999999999999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1370.6627873268485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939.62278732684854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Líquido],base[Data],Extrato!$B212,base[Método],Extrato!D$3,base[Exchange],"Fulltbet")</f>
        <v>79.58</v>
      </c>
      <c r="E212" s="2">
        <f>SUMIFS(base[L/P Líquido],base[Data],Extrato!$B212,base[Método],Extrato!E$3,base[Exchange],"Fulltbet")</f>
        <v>0</v>
      </c>
      <c r="F212" s="2">
        <f>SUMIFS(base[L/P Líquido],base[Data],Extrato!$B212,base[Método],Extrato!F$3)</f>
        <v>0</v>
      </c>
      <c r="G212" s="2">
        <f>SUMIFS(base[L/P Líquido],base[Data],Extrato!$B212,base[Método],Extrato!G$3)</f>
        <v>0</v>
      </c>
      <c r="H212" s="2">
        <f>SUMIFS(base[L/P Líquido],base[Data],Extrato!$B212,base[Método],Extrato!H$3)</f>
        <v>0</v>
      </c>
      <c r="I212" s="2">
        <f>SUMIF(BetFlow!B:B,B212,BetFlow!J:J)</f>
        <v>0</v>
      </c>
      <c r="J212" s="2">
        <f>SUMIFS(base[L/P Líquido],base[Data],Extrato!$B212,base[Método],Extrato!J$3)</f>
        <v>0</v>
      </c>
      <c r="K212" s="2">
        <f>SUMIFS(base[L/P Líquido],base[Data],Extrato!$B212,base[Método],Extrato!K$3)</f>
        <v>22.64</v>
      </c>
      <c r="L212" s="2">
        <f>SUMIFS(base[L/P Líquido],base[Data],Extrato!$B212,base[Método],Extrato!L$3,base[Exchange],"Fulltbet")</f>
        <v>0</v>
      </c>
      <c r="M212" s="2">
        <f>SUMIFS(base[L/P Líquido],base[Data],Extrato!$B212,base[Método],Extrato!M$3,base[Exchange],"Fulltbet")</f>
        <v>0</v>
      </c>
      <c r="N212" s="2">
        <f>SUMIFS(base[L/P Líquido],base[Data],Extrato!$B212,base[Método],Extrato!N$3,base[Exchange],"Fulltbet")</f>
        <v>72.44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0</v>
      </c>
      <c r="AA212" s="2">
        <f>SUMIFS(base[L/P Líquido],base[Data],Extrato!$B212,base[Método],Extrato!AA$3,base[Exchange],"Fulltbet")</f>
        <v>20.54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939.62278732684854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969.24278732684854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Líquido],base[Data],Extrato!$B213,base[Método],Extrato!D$3,base[Exchange],"Fulltbet")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Líquido],base[Data],Extrato!$B213,base[Método],Extrato!G$3)</f>
        <v>0</v>
      </c>
      <c r="H213" s="2">
        <f>SUMIFS(base[L/P Líquido],base[Data],Extrato!$B213,base[Método],Extrato!H$3)</f>
        <v>0</v>
      </c>
      <c r="I213" s="2">
        <f>SUMIF(BetFlow!B:B,B213,BetFlow!J:J)</f>
        <v>0</v>
      </c>
      <c r="J213" s="2">
        <f>SUMIFS(base[L/P Líquido],base[Data],Extrato!$B213,base[Método],Extrato!J$3)</f>
        <v>0</v>
      </c>
      <c r="K213" s="2">
        <f>SUMIFS(base[L/P Líquido],base[Data],Extrato!$B213,base[Método],Extrato!K$3)</f>
        <v>0</v>
      </c>
      <c r="L213" s="2">
        <f>SUMIFS(base[L/P Líquido],base[Data],Extrato!$B213,base[Método],Extrato!L$3,base[Exchange],"Fulltbet")</f>
        <v>0</v>
      </c>
      <c r="M213" s="2">
        <f>SUMIFS(base[L/P Líquido],base[Data],Extrato!$B213,base[Método],Extrato!M$3,base[Exchange],"Fulltbet")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969.24278732684854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969.24278732684854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Líquido],base[Data],Extrato!$B214,base[Método],Extrato!D$3,base[Exchange],"Fulltbet")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Líquido],base[Data],Extrato!$B214,base[Método],Extrato!G$3)</f>
        <v>0</v>
      </c>
      <c r="H214" s="2">
        <f>SUMIFS(base[L/P Líquido],base[Data],Extrato!$B214,base[Método],Extrato!H$3)</f>
        <v>0</v>
      </c>
      <c r="I214" s="2">
        <f>SUMIF(BetFlow!B:B,B214,BetFlow!J:J)</f>
        <v>0</v>
      </c>
      <c r="J214" s="2">
        <f>SUMIFS(base[L/P Líquido],base[Data],Extrato!$B214,base[Método],Extrato!J$3)</f>
        <v>0</v>
      </c>
      <c r="K214" s="2">
        <f>SUMIFS(base[L/P Líquido],base[Data],Extrato!$B214,base[Método],Extrato!K$3)</f>
        <v>0</v>
      </c>
      <c r="L214" s="2">
        <f>SUMIFS(base[L/P Líquido],base[Data],Extrato!$B214,base[Método],Extrato!L$3,base[Exchange],"Fulltbet")</f>
        <v>0</v>
      </c>
      <c r="M214" s="2">
        <f>SUMIFS(base[L/P Líquido],base[Data],Extrato!$B214,base[Método],Extrato!M$3,base[Exchange],"Fulltbet")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Líquido],base[Data],Extrato!$B214,base[Método],Extrato!Z$3,base[Exchange],"Fulltbet")</f>
        <v>0.56999999999999995</v>
      </c>
      <c r="AA214" s="2">
        <f>SUMIFS(base[L/P Líquido],base[Data],Extrato!$B214,base[Método],Extrato!AA$3,base[Exchange],"Fulltbet")</f>
        <v>107.88000000000001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969.24278732684854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923.97278732684856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Líquido],base[Data],Extrato!$B215,base[Método],Extrato!D$3,base[Exchange],"Fulltbet")</f>
        <v>0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Líquido],base[Data],Extrato!$B215,base[Método],Extrato!G$3)</f>
        <v>0</v>
      </c>
      <c r="H215" s="2">
        <f>SUMIFS(base[L/P Líquido],base[Data],Extrato!$B215,base[Método],Extrato!H$3)</f>
        <v>0</v>
      </c>
      <c r="I215" s="2">
        <f>SUMIF(BetFlow!B:B,B215,BetFlow!J:J)</f>
        <v>0</v>
      </c>
      <c r="J215" s="2">
        <f>SUMIFS(base[L/P Líquido],base[Data],Extrato!$B215,base[Método],Extrato!J$3)</f>
        <v>0</v>
      </c>
      <c r="K215" s="2">
        <f>SUMIFS(base[L/P Líquido],base[Data],Extrato!$B215,base[Método],Extrato!K$3)</f>
        <v>41.84</v>
      </c>
      <c r="L215" s="2">
        <f>SUMIFS(base[L/P Líquido],base[Data],Extrato!$B215,base[Método],Extrato!L$3,base[Exchange],"Fulltbet")</f>
        <v>0</v>
      </c>
      <c r="M215" s="2">
        <f>SUMIFS(base[L/P Líquido],base[Data],Extrato!$B215,base[Método],Extrato!M$3,base[Exchange],"Fulltbet")</f>
        <v>0</v>
      </c>
      <c r="N215" s="2">
        <f>SUMIFS(base[L/P Líquido],base[Data],Extrato!$B215,base[Método],Extrato!N$3,base[Exchange],"Fulltbet")</f>
        <v>21.71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0</v>
      </c>
      <c r="AA215" s="2">
        <f>SUMIFS(base[L/P Líquido],base[Data],Extrato!$B215,base[Método],Extrato!AA$3,base[Exchange],"Fulltbet")</f>
        <v>60.650000000000006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923.97278732684856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874.08278732684857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Líquido],base[Data],Extrato!$B216,base[Método],Extrato!D$3,base[Exchange],"Fulltbet")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Líquido],base[Data],Extrato!$B216,base[Método],Extrato!G$3)</f>
        <v>0</v>
      </c>
      <c r="H216" s="2">
        <f>SUMIFS(base[L/P Líquido],base[Data],Extrato!$B216,base[Método],Extrato!H$3)</f>
        <v>0</v>
      </c>
      <c r="I216" s="2">
        <f>SUMIF(BetFlow!B:B,B216,BetFlow!J:J)</f>
        <v>0</v>
      </c>
      <c r="J216" s="2">
        <f>SUMIFS(base[L/P Líquido],base[Data],Extrato!$B216,base[Método],Extrato!J$3)</f>
        <v>0</v>
      </c>
      <c r="K216" s="2">
        <f>SUMIFS(base[L/P Líquido],base[Data],Extrato!$B216,base[Método],Extrato!K$3)</f>
        <v>0</v>
      </c>
      <c r="L216" s="2">
        <f>SUMIFS(base[L/P Líquido],base[Data],Extrato!$B216,base[Método],Extrato!L$3,base[Exchange],"Fulltbet")</f>
        <v>0</v>
      </c>
      <c r="M216" s="2">
        <f>SUMIFS(base[L/P Líquido],base[Data],Extrato!$B216,base[Método],Extrato!M$3,base[Exchange],"Fulltbet")</f>
        <v>0</v>
      </c>
      <c r="N216" s="2">
        <f>SUMIFS(base[L/P Líquido],base[Data],Extrato!$B216,base[Método],Extrato!N$3,base[Exchange],"Fulltbet")</f>
        <v>36.79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0</v>
      </c>
      <c r="AA216" s="2">
        <f>SUMIFS(base[L/P Líquido],base[Data],Extrato!$B216,base[Método],Extrato!AA$3,base[Exchange],"Fulltbet")</f>
        <v>8.25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874.08278732684857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884.94278732684859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Líquido],base[Data],Extrato!$B217,base[Método],Extrato!D$3,base[Exchange],"Fulltbet")</f>
        <v>0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Líquido],base[Data],Extrato!$B217,base[Método],Extrato!G$3)</f>
        <v>0</v>
      </c>
      <c r="H217" s="2">
        <f>SUMIFS(base[L/P Líquido],base[Data],Extrato!$B217,base[Método],Extrato!H$3)</f>
        <v>0</v>
      </c>
      <c r="I217" s="2">
        <f>SUMIF(BetFlow!B:B,B217,BetFlow!J:J)</f>
        <v>0</v>
      </c>
      <c r="J217" s="2">
        <f>SUMIFS(base[L/P Líquido],base[Data],Extrato!$B217,base[Método],Extrato!J$3)</f>
        <v>0</v>
      </c>
      <c r="K217" s="2">
        <f>SUMIFS(base[L/P Líquido],base[Data],Extrato!$B217,base[Método],Extrato!K$3)</f>
        <v>33.21</v>
      </c>
      <c r="L217" s="2">
        <f>SUMIFS(base[L/P Líquido],base[Data],Extrato!$B217,base[Método],Extrato!L$3,base[Exchange],"Fulltbet")</f>
        <v>0</v>
      </c>
      <c r="M217" s="2">
        <f>SUMIFS(base[L/P Líquido],base[Data],Extrato!$B217,base[Método],Extrato!M$3,base[Exchange],"Fulltbet")</f>
        <v>0</v>
      </c>
      <c r="N217" s="2">
        <f>SUMIFS(base[L/P Líquido],base[Data],Extrato!$B217,base[Método],Extrato!N$3,base[Exchange],"Fulltbet")</f>
        <v>59.83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0</v>
      </c>
      <c r="AA217" s="2">
        <f>SUMIFS(base[L/P Líquido],base[Data],Extrato!$B217,base[Método],Extrato!AA$3,base[Exchange],"Fulltbet")</f>
        <v>63.980000000000004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884.94278732684859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1082.2427873268487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Líquido],base[Data],Extrato!$B218,base[Método],Extrato!D$3,base[Exchange],"Fulltbet")</f>
        <v>-400</v>
      </c>
      <c r="E218" s="2">
        <f>SUMIFS(base[L/P Líquido],base[Data],Extrato!$B218,base[Método],Extrato!E$3,base[Exchange],"Fulltbet")</f>
        <v>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Líquido],base[Data],Extrato!$B218,base[Método],Extrato!G$3)</f>
        <v>0</v>
      </c>
      <c r="H218" s="2">
        <f>SUMIFS(base[L/P Líquido],base[Data],Extrato!$B218,base[Método],Extrato!H$3)</f>
        <v>0</v>
      </c>
      <c r="I218" s="2">
        <f>SUMIF(BetFlow!B:B,B218,BetFlow!J:J)</f>
        <v>0</v>
      </c>
      <c r="J218" s="2">
        <f>SUMIFS(base[L/P Líquido],base[Data],Extrato!$B218,base[Método],Extrato!J$3)</f>
        <v>0</v>
      </c>
      <c r="K218" s="2">
        <f>SUMIFS(base[L/P Líquido],base[Data],Extrato!$B218,base[Método],Extrato!K$3)</f>
        <v>0</v>
      </c>
      <c r="L218" s="2">
        <f>SUMIFS(base[L/P Líquido],base[Data],Extrato!$B218,base[Método],Extrato!L$3,base[Exchange],"Fulltbet")</f>
        <v>0</v>
      </c>
      <c r="M218" s="2">
        <f>SUMIFS(base[L/P Líquido],base[Data],Extrato!$B218,base[Método],Extrato!M$3,base[Exchange],"Fulltbet")</f>
        <v>0</v>
      </c>
      <c r="N218" s="2">
        <f>SUMIFS(base[L/P Líquido],base[Data],Extrato!$B218,base[Método],Extrato!N$3,base[Exchange],"Fulltbet")</f>
        <v>17.36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1082.2427873268487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1082.2427873268487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Líquido],base[Data],Extrato!$B219,base[Método],Extrato!D$3,base[Exchange],"Fulltbet")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Líquido],base[Data],Extrato!$B219,base[Método],Extrato!G$3)</f>
        <v>0</v>
      </c>
      <c r="H219" s="2">
        <f>SUMIFS(base[L/P Líquido],base[Data],Extrato!$B219,base[Método],Extrato!H$3)</f>
        <v>0</v>
      </c>
      <c r="I219" s="2">
        <f>SUMIF(BetFlow!B:B,B219,BetFlow!J:J)</f>
        <v>0</v>
      </c>
      <c r="J219" s="2">
        <f>SUMIFS(base[L/P Líquido],base[Data],Extrato!$B219,base[Método],Extrato!J$3)</f>
        <v>0</v>
      </c>
      <c r="K219" s="2">
        <f>SUMIFS(base[L/P Líquido],base[Data],Extrato!$B219,base[Método],Extrato!K$3)</f>
        <v>0</v>
      </c>
      <c r="L219" s="2">
        <f>SUMIFS(base[L/P Líquido],base[Data],Extrato!$B219,base[Método],Extrato!L$3,base[Exchange],"Fulltbet")</f>
        <v>0</v>
      </c>
      <c r="M219" s="2">
        <f>SUMIFS(base[L/P Líquido],base[Data],Extrato!$B219,base[Método],Extrato!M$3,base[Exchange],"Fulltbet")</f>
        <v>0</v>
      </c>
      <c r="N219" s="2">
        <f>SUMIFS(base[L/P Líquido],base[Data],Extrato!$B219,base[Método],Extrato!N$3,base[Exchange],"Fulltbet")</f>
        <v>23.31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0</v>
      </c>
      <c r="AA219" s="2">
        <f>SUMIFS(base[L/P Líquido],base[Data],Extrato!$B219,base[Método],Extrato!AA$3,base[Exchange],"Fulltbet")</f>
        <v>8.5500000000000007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1082.2427873268487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1132.9827873268487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Líquido],base[Data],Extrato!$B220,base[Método],Extrato!D$3,base[Exchange],"Fulltbet")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Líquido],base[Data],Extrato!$B220,base[Método],Extrato!G$3)</f>
        <v>0</v>
      </c>
      <c r="H220" s="2">
        <f>SUMIFS(base[L/P Líquido],base[Data],Extrato!$B220,base[Método],Extrato!H$3)</f>
        <v>0</v>
      </c>
      <c r="I220" s="2">
        <f>SUMIF(BetFlow!B:B,B220,BetFlow!J:J)</f>
        <v>0</v>
      </c>
      <c r="J220" s="2">
        <f>SUMIFS(base[L/P Líquido],base[Data],Extrato!$B220,base[Método],Extrato!J$3)</f>
        <v>0</v>
      </c>
      <c r="K220" s="2">
        <f>SUMIFS(base[L/P Líquido],base[Data],Extrato!$B220,base[Método],Extrato!K$3)</f>
        <v>0</v>
      </c>
      <c r="L220" s="2">
        <f>SUMIFS(base[L/P Líquido],base[Data],Extrato!$B220,base[Método],Extrato!L$3,base[Exchange],"Fulltbet")</f>
        <v>0</v>
      </c>
      <c r="M220" s="2">
        <f>SUMIFS(base[L/P Líquido],base[Data],Extrato!$B220,base[Método],Extrato!M$3,base[Exchange],"Fulltbet")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1132.9827873268487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1150.7127873268487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Líquido],base[Data],Extrato!$B221,base[Método],Extrato!D$3,base[Exchange],"Fulltbet")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Líquido],base[Data],Extrato!$B221,base[Método],Extrato!G$3)</f>
        <v>0</v>
      </c>
      <c r="H221" s="2">
        <f>SUMIFS(base[L/P Líquido],base[Data],Extrato!$B221,base[Método],Extrato!H$3)</f>
        <v>0</v>
      </c>
      <c r="I221" s="2">
        <f>SUMIF(BetFlow!B:B,B221,BetFlow!J:J)</f>
        <v>0</v>
      </c>
      <c r="J221" s="2">
        <f>SUMIFS(base[L/P Líquido],base[Data],Extrato!$B221,base[Método],Extrato!J$3)</f>
        <v>0</v>
      </c>
      <c r="K221" s="2">
        <f>SUMIFS(base[L/P Líquido],base[Data],Extrato!$B221,base[Método],Extrato!K$3)</f>
        <v>0</v>
      </c>
      <c r="L221" s="2">
        <f>SUMIFS(base[L/P Líquido],base[Data],Extrato!$B221,base[Método],Extrato!L$3,base[Exchange],"Fulltbet")</f>
        <v>0</v>
      </c>
      <c r="M221" s="2">
        <f>SUMIFS(base[L/P Líquido],base[Data],Extrato!$B221,base[Método],Extrato!M$3,base[Exchange],"Fulltbet")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1150.7127873268487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1150.7127873268487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Líquido],base[Data],Extrato!$B222,base[Método],Extrato!D$3,base[Exchange],"Fulltbet")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Líquido],base[Data],Extrato!$B222,base[Método],Extrato!G$3)</f>
        <v>0</v>
      </c>
      <c r="H222" s="2">
        <f>SUMIFS(base[L/P Líquido],base[Data],Extrato!$B222,base[Método],Extrato!H$3)</f>
        <v>0</v>
      </c>
      <c r="I222" s="2">
        <f>SUMIF(BetFlow!B:B,B222,BetFlow!J:J)</f>
        <v>-6.98</v>
      </c>
      <c r="J222" s="2">
        <f>SUMIFS(base[L/P Líquido],base[Data],Extrato!$B222,base[Método],Extrato!J$3)</f>
        <v>0</v>
      </c>
      <c r="K222" s="2">
        <f>SUMIFS(base[L/P Líquido],base[Data],Extrato!$B222,base[Método],Extrato!K$3)</f>
        <v>0</v>
      </c>
      <c r="L222" s="2">
        <f>SUMIFS(base[L/P Líquido],base[Data],Extrato!$B222,base[Método],Extrato!L$3,base[Exchange],"Fulltbet")</f>
        <v>0</v>
      </c>
      <c r="M222" s="2">
        <f>SUMIFS(base[L/P Líquido],base[Data],Extrato!$B222,base[Método],Extrato!M$3,base[Exchange],"Fulltbet")</f>
        <v>0</v>
      </c>
      <c r="N222" s="2">
        <f>SUMIFS(base[L/P Líquido],base[Data],Extrato!$B222,base[Método],Extrato!N$3,base[Exchange],"Fulltbet")</f>
        <v>19.78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0</v>
      </c>
      <c r="AA222" s="2">
        <f>SUMIFS(base[L/P Líquido],base[Data],Extrato!$B222,base[Método],Extrato!AA$3,base[Exchange],"Fulltbet")</f>
        <v>12.63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1150.7127873268487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1207.2093157268487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Líquido],base[Data],Extrato!$B223,base[Método],Extrato!D$3,base[Exchange],"Fulltbet")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25.76</v>
      </c>
      <c r="H223" s="2">
        <f>SUMIFS(base[L/P Líquido],base[Data],Extrato!$B223,base[Método],Extrato!H$3)</f>
        <v>0</v>
      </c>
      <c r="I223" s="2">
        <f>SUMIF(BetFlow!B:B,B223,BetFlow!J:J)</f>
        <v>0</v>
      </c>
      <c r="J223" s="2">
        <f>SUMIFS(base[L/P Líquido],base[Data],Extrato!$B223,base[Método],Extrato!J$3)</f>
        <v>0</v>
      </c>
      <c r="K223" s="2">
        <f>SUMIFS(base[L/P Líquido],base[Data],Extrato!$B223,base[Método],Extrato!K$3)</f>
        <v>0</v>
      </c>
      <c r="L223" s="2">
        <f>SUMIFS(base[L/P Líquido],base[Data],Extrato!$B223,base[Método],Extrato!L$3,base[Exchange],"Fulltbet")</f>
        <v>0</v>
      </c>
      <c r="M223" s="2">
        <f>SUMIFS(base[L/P Líquido],base[Data],Extrato!$B223,base[Método],Extrato!M$3,base[Exchange],"Fulltbet")</f>
        <v>0</v>
      </c>
      <c r="N223" s="2">
        <f>SUMIFS(base[L/P Líquido],base[Data],Extrato!$B223,base[Método],Extrato!N$3,base[Exchange],"Fulltbet")</f>
        <v>20.69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0</v>
      </c>
      <c r="AA223" s="2">
        <f>SUMIFS(base[L/P Líquido],base[Data],Extrato!$B223,base[Método],Extrato!AA$3,base[Exchange],"Fulltbet")</f>
        <v>104.99000000000001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1207.2093157268487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1252.8093157268486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Líquido],base[Data],Extrato!$B224,base[Método],Extrato!D$3,base[Exchange],"Fulltbet")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78.73</v>
      </c>
      <c r="H224" s="2">
        <f>SUMIFS(base[L/P Líquido],base[Data],Extrato!$B224,base[Método],Extrato!H$3)</f>
        <v>0</v>
      </c>
      <c r="I224" s="2">
        <f>SUMIF(BetFlow!B:B,B224,BetFlow!J:J)</f>
        <v>-4.16</v>
      </c>
      <c r="J224" s="2">
        <f>SUMIFS(base[L/P Líquido],base[Data],Extrato!$B224,base[Método],Extrato!J$3)</f>
        <v>0</v>
      </c>
      <c r="K224" s="2">
        <f>SUMIFS(base[L/P Líquido],base[Data],Extrato!$B224,base[Método],Extrato!K$3)</f>
        <v>0</v>
      </c>
      <c r="L224" s="2">
        <f>SUMIFS(base[L/P Líquido],base[Data],Extrato!$B224,base[Método],Extrato!L$3,base[Exchange],"Fulltbet")</f>
        <v>0</v>
      </c>
      <c r="M224" s="2">
        <f>SUMIFS(base[L/P Líquido],base[Data],Extrato!$B224,base[Método],Extrato!M$3,base[Exchange],"Fulltbet")</f>
        <v>0</v>
      </c>
      <c r="N224" s="2">
        <f>SUMIFS(base[L/P Líquido],base[Data],Extrato!$B224,base[Método],Extrato!N$3,base[Exchange],"Fulltbet")</f>
        <v>26.74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0</v>
      </c>
      <c r="AA224" s="2">
        <f>SUMIFS(base[L/P Líquido],base[Data],Extrato!$B224,base[Método],Extrato!AA$3,base[Exchange],"Fulltbet")</f>
        <v>64.099999999999994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1252.8093157268486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1263.9996453268486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Líquido],base[Data],Extrato!$B225,base[Método],Extrato!D$3,base[Exchange],"Fulltbet")</f>
        <v>0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47.75</v>
      </c>
      <c r="H225" s="2">
        <f>SUMIFS(base[L/P Líquido],base[Data],Extrato!$B225,base[Método],Extrato!H$3)</f>
        <v>0</v>
      </c>
      <c r="I225" s="2">
        <f>SUMIF(BetFlow!B:B,B225,BetFlow!J:J)</f>
        <v>9.2527000000000008</v>
      </c>
      <c r="J225" s="2">
        <f>SUMIFS(base[L/P Líquido],base[Data],Extrato!$B225,base[Método],Extrato!J$3)</f>
        <v>0</v>
      </c>
      <c r="K225" s="2">
        <f>SUMIFS(base[L/P Líquido],base[Data],Extrato!$B225,base[Método],Extrato!K$3)</f>
        <v>63.68</v>
      </c>
      <c r="L225" s="2">
        <f>SUMIFS(base[L/P Líquido],base[Data],Extrato!$B225,base[Método],Extrato!L$3,base[Exchange],"Fulltbet")</f>
        <v>0</v>
      </c>
      <c r="M225" s="2">
        <f>SUMIFS(base[L/P Líquido],base[Data],Extrato!$B225,base[Método],Extrato!M$3,base[Exchange],"Fulltbet")</f>
        <v>0</v>
      </c>
      <c r="N225" s="2">
        <f>SUMIFS(base[L/P Líquido],base[Data],Extrato!$B225,base[Método],Extrato!N$3,base[Exchange],"Fulltbet")</f>
        <v>30.08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Líquido],base[Data],Extrato!$B225,base[Método],Extrato!Z$3,base[Exchange],"Fulltbet")</f>
        <v>35.89</v>
      </c>
      <c r="AA225" s="2">
        <f>SUMIFS(base[L/P Líquido],base[Data],Extrato!$B225,base[Método],Extrato!AA$3,base[Exchange],"Fulltbet")</f>
        <v>59.19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1263.9996453268486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1265.9207205284486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Líquido],base[Data],Extrato!$B226,base[Método],Extrato!D$3,base[Exchange],"Fulltbet")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0</v>
      </c>
      <c r="I226" s="2">
        <f>SUMIF(BetFlow!B:B,B226,BetFlow!J:J)</f>
        <v>0</v>
      </c>
      <c r="J226" s="2">
        <f>SUMIFS(base[L/P Líquido],base[Data],Extrato!$B226,base[Método],Extrato!J$3)</f>
        <v>0</v>
      </c>
      <c r="K226" s="2">
        <f>SUMIFS(base[L/P Líquido],base[Data],Extrato!$B226,base[Método],Extrato!K$3)</f>
        <v>0</v>
      </c>
      <c r="L226" s="2">
        <f>SUMIFS(base[L/P Líquido],base[Data],Extrato!$B226,base[Método],Extrato!L$3,base[Exchange],"Fulltbet")</f>
        <v>0</v>
      </c>
      <c r="M226" s="2">
        <f>SUMIFS(base[L/P Líquido],base[Data],Extrato!$B226,base[Método],Extrato!M$3,base[Exchange],"Fulltbet")</f>
        <v>0</v>
      </c>
      <c r="N226" s="2">
        <f>SUMIFS(base[L/P Líquido],base[Data],Extrato!$B226,base[Método],Extrato!N$3,base[Exchange],"Fulltbet")</f>
        <v>13.1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0</v>
      </c>
      <c r="AA226" s="2">
        <f>SUMIFS(base[L/P Líquido],base[Data],Extrato!$B226,base[Método],Extrato!AA$3,base[Exchange],"Fulltbet")</f>
        <v>4.78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1265.9207205284486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1295.2407205284487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Líquido],base[Data],Extrato!$B227,base[Método],Extrato!D$3,base[Exchange],"Fulltbet")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0</v>
      </c>
      <c r="I227" s="2">
        <f>SUMIF(BetFlow!B:B,B227,BetFlow!J:J)</f>
        <v>-12.363800000000003</v>
      </c>
      <c r="J227" s="2">
        <f>SUMIFS(base[L/P Líquido],base[Data],Extrato!$B227,base[Método],Extrato!J$3)</f>
        <v>0</v>
      </c>
      <c r="K227" s="2">
        <f>SUMIFS(base[L/P Líquido],base[Data],Extrato!$B227,base[Método],Extrato!K$3)</f>
        <v>0</v>
      </c>
      <c r="L227" s="2">
        <f>SUMIFS(base[L/P Líquido],base[Data],Extrato!$B227,base[Método],Extrato!L$3,base[Exchange],"Fulltbet")</f>
        <v>0</v>
      </c>
      <c r="M227" s="2">
        <f>SUMIFS(base[L/P Líquido],base[Data],Extrato!$B227,base[Método],Extrato!M$3,base[Exchange],"Fulltbet")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0</v>
      </c>
      <c r="AA227" s="2">
        <f>SUMIFS(base[L/P Líquido],base[Data],Extrato!$B227,base[Método],Extrato!AA$3,base[Exchange],"Fulltbet")</f>
        <v>11.59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1295.2407205284487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1340.8838233972488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Líquido],base[Data],Extrato!$B228,base[Método],Extrato!D$3,base[Exchange],"Fulltbet")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0</v>
      </c>
      <c r="I228" s="2">
        <f>SUMIF(BetFlow!B:B,B228,BetFlow!J:J)</f>
        <v>-18.510000000000002</v>
      </c>
      <c r="J228" s="2">
        <f>SUMIFS(base[L/P Líquido],base[Data],Extrato!$B228,base[Método],Extrato!J$3)</f>
        <v>0</v>
      </c>
      <c r="K228" s="2">
        <f>SUMIFS(base[L/P Líquido],base[Data],Extrato!$B228,base[Método],Extrato!K$3)</f>
        <v>0</v>
      </c>
      <c r="L228" s="2">
        <f>SUMIFS(base[L/P Líquido],base[Data],Extrato!$B228,base[Método],Extrato!L$3,base[Exchange],"Fulltbet")</f>
        <v>0</v>
      </c>
      <c r="M228" s="2">
        <f>SUMIFS(base[L/P Líquido],base[Data],Extrato!$B228,base[Método],Extrato!M$3,base[Exchange],"Fulltbet")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0</v>
      </c>
      <c r="AA228" s="2">
        <f>SUMIFS(base[L/P Líquido],base[Data],Extrato!$B228,base[Método],Extrato!AA$3,base[Exchange],"Fulltbet")</f>
        <v>111.16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1340.8838233972488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1259.2215695092486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Líquido],base[Data],Extrato!$B229,base[Método],Extrato!D$3,base[Exchange],"Fulltbet")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0</v>
      </c>
      <c r="I229" s="2">
        <f>SUMIF(BetFlow!B:B,B229,BetFlow!J:J)</f>
        <v>0</v>
      </c>
      <c r="J229" s="2">
        <f>SUMIFS(base[L/P Líquido],base[Data],Extrato!$B229,base[Método],Extrato!J$3)</f>
        <v>0</v>
      </c>
      <c r="K229" s="2">
        <f>SUMIFS(base[L/P Líquido],base[Data],Extrato!$B229,base[Método],Extrato!K$3)</f>
        <v>0</v>
      </c>
      <c r="L229" s="2">
        <f>SUMIFS(base[L/P Líquido],base[Data],Extrato!$B229,base[Método],Extrato!L$3,base[Exchange],"Fulltbet")</f>
        <v>0</v>
      </c>
      <c r="M229" s="2">
        <f>SUMIFS(base[L/P Líquido],base[Data],Extrato!$B229,base[Método],Extrato!M$3,base[Exchange],"Fulltbet")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0</v>
      </c>
      <c r="AA229" s="2">
        <f>SUMIFS(base[L/P Líquido],base[Data],Extrato!$B229,base[Método],Extrato!AA$3,base[Exchange],"Fulltbet")</f>
        <v>22.32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1259.2215695092486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1322.2515695092486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Líquido],base[Data],Extrato!$B230,base[Método],Extrato!D$3,base[Exchange],"Fulltbet")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118.28135</v>
      </c>
      <c r="H230" s="2">
        <f>SUMIFS(base[L/P Líquido],base[Data],Extrato!$B230,base[Método],Extrato!H$3)</f>
        <v>108.87</v>
      </c>
      <c r="I230" s="2">
        <f>SUMIF(BetFlow!B:B,B230,BetFlow!J:J)</f>
        <v>0</v>
      </c>
      <c r="J230" s="2">
        <f>SUMIFS(base[L/P Líquido],base[Data],Extrato!$B230,base[Método],Extrato!J$3,base[Exchange],"Fulltbet")</f>
        <v>0</v>
      </c>
      <c r="K230" s="2">
        <f>SUMIFS(base[L/P Líquido],base[Data],Extrato!$B230,base[Método],Extrato!K$3)</f>
        <v>0</v>
      </c>
      <c r="L230" s="2">
        <f>SUMIFS(base[L/P Líquido],base[Data],Extrato!$B230,base[Método],Extrato!L$3,base[Exchange],"Fulltbet")</f>
        <v>0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36.223149999999997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-15.09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0</v>
      </c>
      <c r="AA230" s="2">
        <f>SUMIFS(base[L/P Líquido],base[Data],Extrato!$B230,base[Método],Extrato!AA$3,base[Exchange],"Fulltbet")</f>
        <v>132.69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1322.2515695092486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1368.7715695092486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Líquido],base[Data],Extrato!$B231,base[Método],Extrato!D$3,base[Exchange],"Fulltbet")</f>
        <v>86.16</v>
      </c>
      <c r="E231" s="2">
        <f>SUMIFS(base[L/P Líquido],base[Data],Extrato!$B231,base[Método],Extrato!E$3,base[Exchange],"Fulltbet")</f>
        <v>0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0</v>
      </c>
      <c r="I231" s="2">
        <f>SUMIF(BetFlow!B:B,B231,BetFlow!J:J)</f>
        <v>0</v>
      </c>
      <c r="J231" s="2">
        <f>SUMIFS(base[L/P Líquido],base[Data],Extrato!$B231,base[Método],Extrato!J$3,base[Exchange],"Fulltbet")</f>
        <v>5.0599999999999996</v>
      </c>
      <c r="K231" s="2">
        <f>SUMIFS(base[L/P Líquido],base[Data],Extrato!$B231,base[Método],Extrato!K$3)</f>
        <v>38.99</v>
      </c>
      <c r="L231" s="2">
        <f>SUMIFS(base[L/P Líquido],base[Data],Extrato!$B231,base[Método],Extrato!L$3,base[Exchange],"Fulltbet")</f>
        <v>0</v>
      </c>
      <c r="M231" s="2">
        <f>SUMIFS(base[L/P Líquido],base[Data],Extrato!$B231,base[Método],Extrato!M$3,base[Exchange],"Fulltbet")</f>
        <v>0</v>
      </c>
      <c r="N231" s="2">
        <f>SUMIFS(base[L/P Líquido],base[Data],Extrato!$B231,base[Método],Extrato!N$3,base[Exchange],"Fulltbet")</f>
        <v>14.69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Líquido],base[Data],Extrato!$B231,base[Método],Extrato!Z$3,base[Exchange],"Fulltbet")</f>
        <v>16.46</v>
      </c>
      <c r="AA231" s="2">
        <f>SUMIFS(base[L/P Líquido],base[Data],Extrato!$B231,base[Método],Extrato!AA$3,base[Exchange],"Fulltbet")</f>
        <v>1.9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1368.7715695092486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1142.4415695092487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Líquido],base[Data],Extrato!$B232,base[Método],Extrato!D$3,base[Exchange],"Fulltbet")</f>
        <v>0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30.81</v>
      </c>
      <c r="H232" s="2">
        <f>SUMIFS(base[L/P Líquido],base[Data],Extrato!$B232,base[Método],Extrato!H$3)</f>
        <v>0</v>
      </c>
      <c r="I232" s="2">
        <f>SUMIF(BetFlow!B:B,B232,BetFlow!J:J)</f>
        <v>0</v>
      </c>
      <c r="J232" s="2">
        <f>SUMIFS(base[L/P Líquido],base[Data],Extrato!$B232,base[Método],Extrato!J$3,base[Exchange],"Fulltbet")</f>
        <v>0</v>
      </c>
      <c r="K232" s="2">
        <f>SUMIFS(base[L/P Líquido],base[Data],Extrato!$B232,base[Método],Extrato!K$3)</f>
        <v>37.369149999999998</v>
      </c>
      <c r="L232" s="2">
        <f>SUMIFS(base[L/P Líquido],base[Data],Extrato!$B232,base[Método],Extrato!L$3,base[Exchange],"Fulltbet")</f>
        <v>0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4.45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0</v>
      </c>
      <c r="AA232" s="2">
        <f>SUMIFS(base[L/P Líquido],base[Data],Extrato!$B232,base[Método],Extrato!AA$3,base[Exchange],"Fulltbet")</f>
        <v>6.82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1142.4415695092487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1218.3315695092488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Líquido],base[Data],Extrato!$B233,base[Método],Extrato!D$3,base[Exchange],"Fulltbet")</f>
        <v>0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0</v>
      </c>
      <c r="I233" s="2">
        <f>SUMIF(BetFlow!B:B,B233,BetFlow!J:J)</f>
        <v>0</v>
      </c>
      <c r="J233" s="2">
        <f>SUMIFS(base[L/P Líquido],base[Data],Extrato!$B233,base[Método],Extrato!J$3,base[Exchange],"Fulltbet")</f>
        <v>0</v>
      </c>
      <c r="K233" s="2">
        <f>SUMIFS(base[L/P Líquido],base[Data],Extrato!$B233,base[Método],Extrato!K$3)</f>
        <v>49.943299999999994</v>
      </c>
      <c r="L233" s="2">
        <f>SUMIFS(base[L/P Líquido],base[Data],Extrato!$B233,base[Método],Extrato!L$3,base[Exchange],"Fulltbet")</f>
        <v>0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9.3303499999999993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1218.3315695092488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1218.3315695092488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Líquido],base[Data],Extrato!$B234,base[Método],Extrato!D$3,base[Exchange],"Fulltbet")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0</v>
      </c>
      <c r="I234" s="2">
        <f>SUMIF(BetFlow!B:B,B234,BetFlow!J:J)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Líquido],base[Data],Extrato!$B234,base[Método],Extrato!K$3)</f>
        <v>0</v>
      </c>
      <c r="L234" s="2">
        <f>SUMIFS(base[L/P Líquido],base[Data],Extrato!$B234,base[Método],Extrato!L$3,base[Exchange],"Fulltbet")</f>
        <v>0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0</v>
      </c>
      <c r="AA234" s="2">
        <f>SUMIFS(base[L/P Líquido],base[Data],Extrato!$B234,base[Método],Extrato!AA$3,base[Exchange],"Fulltbet")</f>
        <v>23.67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1218.3315695092488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1228.1315695092487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Líquido],base[Data],Extrato!$B235,base[Método],Extrato!D$3,base[Exchange],"Fulltbet")</f>
        <v>0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44.96</v>
      </c>
      <c r="H235" s="2">
        <f>SUMIFS(base[L/P Líquido],base[Data],Extrato!$B235,base[Método],Extrato!H$3)</f>
        <v>83.09</v>
      </c>
      <c r="I235" s="2">
        <f>SUMIF(BetFlow!B:B,B235,BetFlow!J:J)</f>
        <v>0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Líquido],base[Data],Extrato!$B235,base[Método],Extrato!K$3)</f>
        <v>48.03</v>
      </c>
      <c r="L235" s="2">
        <f>SUMIFS(base[L/P Líquido],base[Data],Extrato!$B235,base[Método],Extrato!L$3,base[Exchange],"Fulltbet")</f>
        <v>0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39.79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0</v>
      </c>
      <c r="AA235" s="2">
        <f>SUMIFS(base[L/P Líquido],base[Data],Extrato!$B235,base[Método],Extrato!AA$3,base[Exchange],"Fulltbet")</f>
        <v>38.36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1228.1315695092487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1004.6715695092488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Líquido],base[Data],Extrato!$B236,base[Método],Extrato!D$3,base[Exchange],"Fulltbet")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35.19</v>
      </c>
      <c r="H236" s="2">
        <f>SUMIFS(base[L/P Líquido],base[Data],Extrato!$B236,base[Método],Extrato!H$3)</f>
        <v>0</v>
      </c>
      <c r="I236" s="2">
        <f>SUMIF(BetFlow!B:B,B236,BetFlow!J:J)</f>
        <v>0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Líquido],base[Data],Extrato!$B236,base[Método],Extrato!K$3)</f>
        <v>0</v>
      </c>
      <c r="L236" s="2">
        <f>SUMIFS(base[L/P Líquido],base[Data],Extrato!$B236,base[Método],Extrato!L$3,base[Exchange],"Fulltbet")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-39.51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Líquido],base[Data],Extrato!$B236,base[Método],Extrato!Z$3,base[Exchange],"Fulltbet")</f>
        <v>-54.57</v>
      </c>
      <c r="AA236" s="2">
        <f>SUMIFS(base[L/P Líquido],base[Data],Extrato!$B236,base[Método],Extrato!AA$3,base[Exchange],"Fulltbet")</f>
        <v>-176.05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1004.6715695092488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938.84156950924876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Líquido],base[Data],Extrato!$B237,base[Método],Extrato!D$3,base[Exchange],"Fulltbet")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49.039250000000003</v>
      </c>
      <c r="H237" s="2">
        <f>SUMIFS(base[L/P Líquido],base[Data],Extrato!$B237,base[Método],Extrato!H$3)</f>
        <v>0</v>
      </c>
      <c r="I237" s="2">
        <f>SUMIF(BetFlow!B:B,B237,BetFlow!J:J)</f>
        <v>0</v>
      </c>
      <c r="J237" s="2">
        <f>SUMIFS(base[L/P Líquido],base[Data],Extrato!$B237,base[Método],Extrato!J$3,base[Exchange],"Fulltbet")</f>
        <v>0</v>
      </c>
      <c r="K237" s="2">
        <f>SUMIFS(base[L/P Líquido],base[Data],Extrato!$B237,base[Método],Extrato!K$3)</f>
        <v>0</v>
      </c>
      <c r="L237" s="2">
        <f>SUMIFS(base[L/P Líquido],base[Data],Extrato!$B237,base[Método],Extrato!L$3,base[Exchange],"Fulltbet")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29.838799999999999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26.53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0</v>
      </c>
      <c r="AA237" s="2">
        <f>SUMIFS(base[L/P Líquido],base[Data],Extrato!$B237,base[Método],Extrato!AA$3,base[Exchange],"Fulltbet")</f>
        <v>18.36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938.84156950924876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964.71156950924876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Líquido],base[Data],Extrato!$B238,base[Método],Extrato!D$3,base[Exchange],"Fulltbet")</f>
        <v>-300.01</v>
      </c>
      <c r="E238" s="2">
        <f>SUMIFS(base[L/P Líquido],base[Data],Extrato!$B238,base[Método],Extrato!E$3,base[Exchange],"Fulltbet")</f>
        <v>0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90.09</v>
      </c>
      <c r="I238" s="2">
        <f>SUMIF(BetFlow!B:B,B238,BetFlow!J:J)</f>
        <v>0</v>
      </c>
      <c r="J238" s="2">
        <f>SUMIFS(base[L/P Líquido],base[Data],Extrato!$B238,base[Método],Extrato!J$3,base[Exchange],"Fulltbet")</f>
        <v>0</v>
      </c>
      <c r="K238" s="2">
        <f>SUMIFS(base[L/P Líquido],base[Data],Extrato!$B238,base[Método],Extrato!K$3)</f>
        <v>0</v>
      </c>
      <c r="L238" s="2">
        <f>SUMIFS(base[L/P Líquido],base[Data],Extrato!$B238,base[Método],Extrato!L$3,base[Exchange],"Fulltbet")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27.97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39.79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0</v>
      </c>
      <c r="AA238" s="2">
        <f>SUMIFS(base[L/P Líquido],base[Data],Extrato!$B238,base[Método],Extrato!AA$3,base[Exchange],"Fulltbet")</f>
        <v>6.82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964.71156950924876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978.35156950924875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Líquido],base[Data],Extrato!$B239,base[Método],Extrato!D$3,base[Exchange],"Fulltbet")</f>
        <v>57.73</v>
      </c>
      <c r="E239" s="2">
        <f>SUMIFS(base[L/P Líquido],base[Data],Extrato!$B239,base[Método],Extrato!E$3,base[Exchange],"Fulltbet")</f>
        <v>76.400000000000006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22.059999999999995</v>
      </c>
      <c r="H239" s="2">
        <f>SUMIFS(base[L/P Líquido],base[Data],Extrato!$B239,base[Método],Extrato!H$3)</f>
        <v>-121.81</v>
      </c>
      <c r="I239" s="2">
        <f>SUMIF(BetFlow!B:B,B239,BetFlow!J:J)</f>
        <v>0</v>
      </c>
      <c r="J239" s="2">
        <f>SUMIFS(base[L/P Líquido],base[Data],Extrato!$B239,base[Método],Extrato!J$3,base[Exchange],"Fulltbet")</f>
        <v>0</v>
      </c>
      <c r="K239" s="2">
        <f>SUMIFS(base[L/P Líquido],base[Data],Extrato!$B239,base[Método],Extrato!K$3)</f>
        <v>44.61</v>
      </c>
      <c r="L239" s="2">
        <f>SUMIFS(base[L/P Líquido],base[Data],Extrato!$B239,base[Método],Extrato!L$3,base[Exchange],"Fulltbet")</f>
        <v>0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76.400199999999998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21.71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0</v>
      </c>
      <c r="AA239" s="2">
        <f>SUMIFS(base[L/P Líquido],base[Data],Extrato!$B239,base[Método],Extrato!AA$3,base[Exchange],"Fulltbet")</f>
        <v>12.96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5331.9149999999991</v>
      </c>
      <c r="AR239" s="2">
        <f t="shared" ref="AR239" si="118">BK238</f>
        <v>978.35156950924875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0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617.88156950924872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5331.9149999999991</v>
      </c>
      <c r="D240" s="2">
        <f>SUMIFS(base[L/P Líquido],base[Data],Extrato!$B240,base[Método],Extrato!D$3,base[Exchange],"Fulltbet")</f>
        <v>0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31.83</v>
      </c>
      <c r="H240" s="2">
        <f>SUMIFS(base[L/P Líquido],base[Data],Extrato!$B240,base[Método],Extrato!H$3)</f>
        <v>0</v>
      </c>
      <c r="I240" s="2">
        <f>SUMIF(BetFlow!B:B,B240,BetFlow!J:J)</f>
        <v>0</v>
      </c>
      <c r="J240" s="2">
        <f>SUMIFS(base[L/P Líquido],base[Data],Extrato!$B240,base[Método],Extrato!J$3,base[Exchange],"Fulltbet")</f>
        <v>4.3400000000000007</v>
      </c>
      <c r="K240" s="2">
        <f>SUMIFS(base[L/P Líquido],base[Data],Extrato!$B240,base[Método],Extrato!K$3)</f>
        <v>26.39</v>
      </c>
      <c r="L240" s="2">
        <f>SUMIFS(base[L/P Líquido],base[Data],Extrato!$B240,base[Método],Extrato!L$3,base[Exchange],"Fulltbet")</f>
        <v>0</v>
      </c>
      <c r="M240" s="2">
        <f>SUMIFS(base[L/P Líquido],base[Data],Extrato!$B240,base[Método],Extrato!M$3,base[Exchange],"Fulltbet")</f>
        <v>0</v>
      </c>
      <c r="N240" s="2">
        <f>SUMIFS(base[L/P Líquido],base[Data],Extrato!$B240,base[Método],Extrato!N$3,base[Exchange],"Fulltbet")</f>
        <v>16.239999999999998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0</v>
      </c>
      <c r="AA240" s="2">
        <f>SUMIFS(base[L/P Líquido],base[Data],Extrato!$B240,base[Método],Extrato!AA$3,base[Exchange],"Fulltbet")</f>
        <v>51.129999999999995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5328.9549999999999</v>
      </c>
      <c r="AR240" s="2">
        <f t="shared" ref="AR240" si="121">BK239</f>
        <v>617.88156950924872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617.88156950924872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5328.9549999999999</v>
      </c>
      <c r="D241" s="2">
        <f>SUMIFS(base[L/P Líquido],base[Data],Extrato!$B241,base[Método],Extrato!D$3,base[Exchange],"Fulltbet")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SUMIF(BetFlow!B:B,B241,BetFlow!J:J)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Líquido],base[Data],Extrato!$B241,base[Método],Extrato!K$3)</f>
        <v>0</v>
      </c>
      <c r="L241" s="2">
        <f>SUMIFS(base[L/P Líquido],base[Data],Extrato!$B241,base[Método],Extrato!L$3,base[Exchange],"Fulltbet")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0</v>
      </c>
      <c r="AA241" s="2">
        <f>SUMIFS(base[L/P Líquido],base[Data],Extrato!$B241,base[Método],Extrato!AA$3,base[Exchange],"Fulltbet")</f>
        <v>21.36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5383.1449999999995</v>
      </c>
      <c r="AR241" s="2">
        <f t="shared" ref="AR241" si="124">BK240</f>
        <v>617.88156950924872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617.88156950924872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5383.1449999999995</v>
      </c>
      <c r="D242" s="2">
        <f>SUMIFS(base[L/P Líquido],base[Data],Extrato!$B242,base[Método],Extrato!D$3,base[Exchange],"Fulltbet")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-100.84</v>
      </c>
      <c r="I242" s="2">
        <f>SUMIF(BetFlow!B:B,B242,BetFlow!J:J)</f>
        <v>0</v>
      </c>
      <c r="J242" s="2">
        <f>SUMIFS(base[L/P Líquido],base[Data],Extrato!$B242,base[Método],Extrato!J$3,base[Exchange],"Fulltbet")</f>
        <v>0</v>
      </c>
      <c r="K242" s="2">
        <f>SUMIFS(base[L/P Líquido],base[Data],Extrato!$B242,base[Método],Extrato!K$3)</f>
        <v>0</v>
      </c>
      <c r="L242" s="2">
        <f>SUMIFS(base[L/P Líquido],base[Data],Extrato!$B242,base[Método],Extrato!L$3,base[Exchange],"Fulltbet")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29.36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37.729999999999997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0</v>
      </c>
      <c r="AA242" s="2">
        <f>SUMIFS(base[L/P Líquido],base[Data],Extrato!$B242,base[Método],Extrato!AA$3,base[Exchange],"Fulltbet")</f>
        <v>5.46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5333.3549999999987</v>
      </c>
      <c r="AR242" s="2">
        <f t="shared" ref="AR242" si="127">BK241</f>
        <v>617.88156950924872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617.88156950924872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5333.3549999999987</v>
      </c>
      <c r="D243" s="2">
        <f>SUMIFS(base[L/P Líquido],base[Data],Extrato!$B243,base[Método],Extrato!D$3,base[Exchange],"Fulltbet")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0</v>
      </c>
      <c r="I243" s="2">
        <f>SUMIF(BetFlow!B:B,B243,BetFlow!J:J)</f>
        <v>0</v>
      </c>
      <c r="J243" s="2">
        <f>SUMIFS(base[L/P Líquido],base[Data],Extrato!$B243,base[Método],Extrato!J$3,base[Exchange],"Fulltbet")</f>
        <v>0.05</v>
      </c>
      <c r="K243" s="2">
        <f>SUMIFS(base[L/P Líquido],base[Data],Extrato!$B243,base[Método],Extrato!K$3)</f>
        <v>0</v>
      </c>
      <c r="L243" s="2">
        <f>SUMIFS(base[L/P Líquido],base[Data],Extrato!$B243,base[Método],Extrato!L$3,base[Exchange],"Fulltbet")</f>
        <v>0</v>
      </c>
      <c r="M243" s="2">
        <f>SUMIFS(base[L/P Líquido],base[Data],Extrato!$B243,base[Método],Extrato!M$3,base[Exchange],"Fulltbet")</f>
        <v>0</v>
      </c>
      <c r="N243" s="2">
        <f>SUMIFS(base[L/P Líquido],base[Data],Extrato!$B243,base[Método],Extrato!N$3,base[Exchange],"Fulltbet")</f>
        <v>0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17.38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5360.5349999999989</v>
      </c>
      <c r="AR243" s="2">
        <f t="shared" ref="AR243" si="130">BK242</f>
        <v>617.88156950924872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617.88156950924872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5360.5349999999989</v>
      </c>
      <c r="D244" s="2">
        <f>SUMIFS(base[L/P Líquido],base[Data],Extrato!$B244,base[Método],Extrato!D$3,base[Exchange],"Fulltbet")</f>
        <v>-153.77000000000001</v>
      </c>
      <c r="E244" s="2">
        <f>SUMIFS(base[L/P Líquido],base[Data],Extrato!$B244,base[Método],Extrato!E$3,base[Exchange],"Fulltbet")</f>
        <v>0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36.29</v>
      </c>
      <c r="H244" s="2">
        <f>SUMIFS(base[L/P Líquido],base[Data],Extrato!$B244,base[Método],Extrato!H$3)</f>
        <v>0</v>
      </c>
      <c r="I244" s="2">
        <f>SUMIF(BetFlow!B:B,B244,BetFlow!J:J)</f>
        <v>0</v>
      </c>
      <c r="J244" s="2">
        <f>SUMIFS(base[L/P Líquido],base[Data],Extrato!$B244,base[Método],Extrato!J$3,base[Exchange],"Fulltbet")</f>
        <v>-5.89</v>
      </c>
      <c r="K244" s="2">
        <f>SUMIFS(base[L/P Líquido],base[Data],Extrato!$B244,base[Método],Extrato!K$3)</f>
        <v>17.36</v>
      </c>
      <c r="L244" s="2">
        <f>SUMIFS(base[L/P Líquido],base[Data],Extrato!$B244,base[Método],Extrato!L$3,base[Exchange],"Fulltbet")</f>
        <v>0</v>
      </c>
      <c r="M244" s="2">
        <f>SUMIFS(base[L/P Líquido],base[Data],Extrato!$B244,base[Método],Extrato!M$3,base[Exchange],"Fulltbet")</f>
        <v>0</v>
      </c>
      <c r="N244" s="2">
        <f>SUMIFS(base[L/P Líquido],base[Data],Extrato!$B244,base[Método],Extrato!N$3,base[Exchange],"Fulltbet")</f>
        <v>9.24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-50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0</v>
      </c>
      <c r="AA244" s="2">
        <f>SUMIFS(base[L/P Líquido],base[Data],Extrato!$B244,base[Método],Extrato!AA$3,base[Exchange],"Fulltbet")</f>
        <v>7.9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5226.5149999999976</v>
      </c>
      <c r="AR244" s="2">
        <f t="shared" ref="AR244" si="133">BK243</f>
        <v>617.88156950924872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581.13156950924872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5226.5149999999976</v>
      </c>
      <c r="D245" s="2">
        <f>SUMIFS(base[L/P Líquido],base[Data],Extrato!$B245,base[Método],Extrato!D$3,base[Exchange],"Fulltbet")</f>
        <v>140.98000000000002</v>
      </c>
      <c r="E245" s="2">
        <f>SUMIFS(base[L/P Líquido],base[Data],Extrato!$B245,base[Método],Extrato!E$3,base[Exchange],"Fulltbet")</f>
        <v>0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0</v>
      </c>
      <c r="I245" s="2">
        <f>SUMIF(BetFlow!B:B,B245,BetFlow!J:J)</f>
        <v>0</v>
      </c>
      <c r="J245" s="2">
        <f>SUMIFS(base[L/P Líquido],base[Data],Extrato!$B245,base[Método],Extrato!J$3,base[Exchange],"Fulltbet")</f>
        <v>0</v>
      </c>
      <c r="K245" s="2">
        <f>SUMIFS(base[L/P Líquido],base[Data],Extrato!$B245,base[Método],Extrato!K$3)</f>
        <v>57.870000000000005</v>
      </c>
      <c r="L245" s="2">
        <f>SUMIFS(base[L/P Líquido],base[Data],Extrato!$B245,base[Método],Extrato!L$3,base[Exchange],"Fulltbet")</f>
        <v>0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26.23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25.61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0</v>
      </c>
      <c r="AA245" s="2">
        <f>SUMIFS(base[L/P Líquido],base[Data],Extrato!$B245,base[Método],Extrato!AA$3,base[Exchange],"Fulltbet")</f>
        <v>50.47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5525.9449999999961</v>
      </c>
      <c r="AR245" s="2">
        <f t="shared" ref="AR245" si="136">BK244</f>
        <v>581.13156950924872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581.13156950924872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5525.9449999999961</v>
      </c>
      <c r="D246" s="2">
        <f>SUMIFS(base[L/P Líquido],base[Data],Extrato!$B246,base[Método],Extrato!D$3,base[Exchange],"Fulltbet")</f>
        <v>0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Líquido],base[Data],Extrato!$B246,base[Método],Extrato!H$3)</f>
        <v>0</v>
      </c>
      <c r="I246" s="2">
        <f>SUMIF(BetFlow!B:B,B246,BetFlow!J:J)</f>
        <v>0</v>
      </c>
      <c r="J246" s="2">
        <f>SUMIFS(base[L/P Líquido],base[Data],Extrato!$B246,base[Método],Extrato!J$3,base[Exchange],"Fulltbet")</f>
        <v>-2.5600000000000005</v>
      </c>
      <c r="K246" s="2">
        <f>SUMIFS(base[L/P Líquido],base[Data],Extrato!$B246,base[Método],Extrato!K$3)</f>
        <v>66.13</v>
      </c>
      <c r="L246" s="2">
        <f>SUMIFS(base[L/P Líquido],base[Data],Extrato!$B246,base[Método],Extrato!L$3,base[Exchange],"Fulltbet")</f>
        <v>0</v>
      </c>
      <c r="M246" s="2">
        <f>SUMIFS(base[L/P Líquido],base[Data],Extrato!$B246,base[Método],Extrato!M$3,base[Exchange],"Fulltbet")</f>
        <v>0</v>
      </c>
      <c r="N246" s="2">
        <f>SUMIFS(base[L/P Líquido],base[Data],Extrato!$B246,base[Método],Extrato!N$3,base[Exchange],"Fulltbet")</f>
        <v>23.68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50.5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0</v>
      </c>
      <c r="AA246" s="2">
        <f>SUMIFS(base[L/P Líquido],base[Data],Extrato!$B246,base[Método],Extrato!AA$3,base[Exchange],"Fulltbet")</f>
        <v>16.11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5327.0849999999955</v>
      </c>
      <c r="AR246" s="2">
        <f t="shared" ref="AR246" si="139">BK245</f>
        <v>581.13156950924872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581.13156950924872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5327.0849999999955</v>
      </c>
      <c r="D247" s="2">
        <f>SUMIFS(base[L/P Líquido],base[Data],Extrato!$B247,base[Método],Extrato!D$3,base[Exchange],"Fulltbet")</f>
        <v>0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Líquido],base[Data],Extrato!$B247,base[Método],Extrato!H$3)</f>
        <v>0</v>
      </c>
      <c r="I247" s="2">
        <f>SUMIF(BetFlow!B:B,B247,BetFlow!J:J)</f>
        <v>0</v>
      </c>
      <c r="J247" s="2">
        <f>SUMIFS(base[L/P Líquido],base[Data],Extrato!$B247,base[Método],Extrato!J$3,base[Exchange],"Fulltbet")</f>
        <v>0</v>
      </c>
      <c r="K247" s="2">
        <f>SUMIFS(base[L/P Líquido],base[Data],Extrato!$B247,base[Método],Extrato!K$3)</f>
        <v>34.56</v>
      </c>
      <c r="L247" s="2">
        <f>SUMIFS(base[L/P Líquido],base[Data],Extrato!$B247,base[Método],Extrato!L$3,base[Exchange],"Fulltbet")</f>
        <v>0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13.03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-31.85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5394.4449999999952</v>
      </c>
      <c r="AR247" s="2">
        <f t="shared" ref="AR247" si="143">BK246</f>
        <v>581.13156950924872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581.13156950924872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5394.4449999999952</v>
      </c>
      <c r="D248" s="2">
        <f>SUMIFS(base[L/P Líquido],base[Data],Extrato!$B248,base[Método],Extrato!D$3,base[Exchange],"Fulltbet")</f>
        <v>0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SUMIF(BetFlow!B:B,B248,BetFlow!J:J)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Líquido],base[Data],Extrato!$B248,base[Método],Extrato!K$3)</f>
        <v>13.67</v>
      </c>
      <c r="L248" s="2">
        <f>SUMIFS(base[L/P Líquido],base[Data],Extrato!$B248,base[Método],Extrato!L$3,base[Exchange],"Fulltbet")</f>
        <v>0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-0.83999999999999631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5407.2649999999949</v>
      </c>
      <c r="AR248" s="2">
        <f t="shared" ref="AR248" si="146">BK247</f>
        <v>581.13156950924872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581.13156950924872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5407.2649999999949</v>
      </c>
      <c r="D249" s="2">
        <f>SUMIFS(base[L/P Líquido],base[Data],Extrato!$B249,base[Método],Extrato!D$3,base[Exchange],"Fulltbet")</f>
        <v>0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Líquido],base[Data],Extrato!$B249,base[Método],Extrato!H$3)</f>
        <v>0</v>
      </c>
      <c r="I249" s="2">
        <f>SUMIF(BetFlow!B:B,B249,BetFlow!J:J)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Líquido],base[Data],Extrato!$B249,base[Método],Extrato!K$3)</f>
        <v>17.11</v>
      </c>
      <c r="L249" s="2">
        <f>SUMIFS(base[L/P Líquido],base[Data],Extrato!$B249,base[Método],Extrato!L$3,base[Exchange],"Fulltbet")</f>
        <v>0</v>
      </c>
      <c r="M249" s="2">
        <f>SUMIFS(base[L/P Líquido],base[Data],Extrato!$B249,base[Método],Extrato!M$3,base[Exchange],"Fulltbet")</f>
        <v>6.69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0</v>
      </c>
      <c r="AA249" s="2">
        <f>SUMIFS(base[L/P Líquido],base[Data],Extrato!$B249,base[Método],Extrato!AA$3,base[Exchange],"Fulltbet")</f>
        <v>37.379999999999995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5504.2549999999947</v>
      </c>
      <c r="AR249" s="2">
        <f t="shared" ref="AR249" si="149">BK248</f>
        <v>581.13156950924872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581.13156950924872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5504.2549999999947</v>
      </c>
      <c r="D250" s="2">
        <f>SUMIFS(base[L/P Líquido],base[Data],Extrato!$B250,base[Método],Extrato!D$3,base[Exchange],"Fulltbet")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0</v>
      </c>
      <c r="I250" s="2">
        <f>SUMIF(BetFlow!B:B,B250,BetFlow!J:J)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Líquido],base[Data],Extrato!$B250,base[Método],Extrato!K$3)</f>
        <v>0</v>
      </c>
      <c r="L250" s="2">
        <f>SUMIFS(base[L/P Líquido],base[Data],Extrato!$B250,base[Método],Extrato!L$3,base[Exchange],"Fulltbet")</f>
        <v>0</v>
      </c>
      <c r="M250" s="2">
        <f>SUMIFS(base[L/P Líquido],base[Data],Extrato!$B250,base[Método],Extrato!M$3,base[Exchange],"Fulltbet")</f>
        <v>16.240000000000002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5527.0449999999946</v>
      </c>
      <c r="AR250" s="2">
        <f t="shared" ref="AR250" si="152">BK249</f>
        <v>581.13156950924872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581.13156950924872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5527.0449999999946</v>
      </c>
      <c r="D251" s="2">
        <f>SUMIFS(base[L/P Líquido],base[Data],Extrato!$B251,base[Método],Extrato!D$3,base[Exchange],"Fulltbet")</f>
        <v>0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Líquido],base[Data],Extrato!$B251,base[Método],Extrato!H$3)</f>
        <v>-120</v>
      </c>
      <c r="I251" s="2">
        <f>SUMIF(BetFlow!B:B,B251,BetFlow!J:J)</f>
        <v>0</v>
      </c>
      <c r="J251" s="2">
        <f>SUMIFS(base[L/P Líquido],base[Data],Extrato!$B251,base[Método],Extrato!J$3,base[Exchange],"Fulltbet")</f>
        <v>0</v>
      </c>
      <c r="K251" s="2">
        <f>SUMIFS(base[L/P Líquido],base[Data],Extrato!$B251,base[Método],Extrato!K$3)</f>
        <v>32.83</v>
      </c>
      <c r="L251" s="2">
        <f>SUMIFS(base[L/P Líquido],base[Data],Extrato!$B251,base[Método],Extrato!L$3,base[Exchange],"Fulltbet")</f>
        <v>0</v>
      </c>
      <c r="M251" s="2">
        <f>SUMIFS(base[L/P Líquido],base[Data],Extrato!$B251,base[Método],Extrato!M$3,base[Exchange],"Fulltbet")</f>
        <v>27.130000000000003</v>
      </c>
      <c r="N251" s="2">
        <f>SUMIFS(base[L/P Líquido],base[Data],Extrato!$B251,base[Método],Extrato!N$3,base[Exchange],"Fulltbet")</f>
        <v>-453.25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-39.75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0</v>
      </c>
      <c r="AA251" s="2">
        <f>SUMIFS(base[L/P Líquido],base[Data],Extrato!$B251,base[Método],Extrato!AA$3,base[Exchange],"Fulltbet")</f>
        <v>94.36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5214.6949999999943</v>
      </c>
      <c r="AR251" s="2">
        <f t="shared" ref="AR251" si="156">BK250</f>
        <v>581.13156950924872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581.13156950924872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5214.6949999999943</v>
      </c>
      <c r="D252" s="2">
        <f>SUMIFS(base[L/P Líquido],base[Data],Extrato!$B252,base[Método],Extrato!D$3,base[Exchange],"Fulltbet")</f>
        <v>59.69</v>
      </c>
      <c r="E252" s="2">
        <f>SUMIFS(base[L/P Líquido],base[Data],Extrato!$B252,base[Método],Extrato!E$3,base[Exchange],"Fulltbet")</f>
        <v>0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27.06</v>
      </c>
      <c r="H252" s="2">
        <f>SUMIFS(base[L/P Líquido],base[Data],Extrato!$B252,base[Método],Extrato!H$3)</f>
        <v>107.72</v>
      </c>
      <c r="I252" s="2">
        <f>SUMIF(BetFlow!B:B,B252,BetFlow!J:J)</f>
        <v>0</v>
      </c>
      <c r="J252" s="2">
        <f>SUMIFS(base[L/P Líquido],base[Data],Extrato!$B252,base[Método],Extrato!J$3,base[Exchange],"Fulltbet")</f>
        <v>0</v>
      </c>
      <c r="K252" s="2">
        <f>SUMIFS(base[L/P Líquido],base[Data],Extrato!$B252,base[Método],Extrato!K$3)</f>
        <v>0</v>
      </c>
      <c r="L252" s="2">
        <f>SUMIFS(base[L/P Líquido],base[Data],Extrato!$B252,base[Método],Extrato!L$3,base[Exchange],"Fulltbet")</f>
        <v>0</v>
      </c>
      <c r="M252" s="2">
        <f>SUMIFS(base[L/P Líquido],base[Data],Extrato!$B252,base[Método],Extrato!M$3,base[Exchange],"Fulltbet")</f>
        <v>18.779999999999998</v>
      </c>
      <c r="N252" s="2">
        <f>SUMIFS(base[L/P Líquido],base[Data],Extrato!$B252,base[Método],Extrato!N$3,base[Exchange],"Fulltbet")</f>
        <v>18.46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-87.789999999999992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0</v>
      </c>
      <c r="AA252" s="2">
        <f>SUMIFS(base[L/P Líquido],base[Data],Extrato!$B252,base[Método],Extrato!AA$3,base[Exchange],"Fulltbet")</f>
        <v>-47.300000000000011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5340.264999999994</v>
      </c>
      <c r="AR252" s="2">
        <f t="shared" ref="AR252" si="160">BK251</f>
        <v>581.13156950924872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581.13156950924872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5340.264999999994</v>
      </c>
      <c r="D253" s="2">
        <f>SUMIFS(base[L/P Líquido],base[Data],Extrato!$B253,base[Método],Extrato!D$3,base[Exchange],"Fulltbet")</f>
        <v>-377.55</v>
      </c>
      <c r="E253" s="2">
        <f>SUMIFS(base[L/P Líquido],base[Data],Extrato!$B253,base[Método],Extrato!E$3,base[Exchange],"Fulltbet")</f>
        <v>132.5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-450.01</v>
      </c>
      <c r="H253" s="2">
        <f>SUMIFS(base[L/P Líquido],base[Data],Extrato!$B253,base[Método],Extrato!H$3)</f>
        <v>112.13</v>
      </c>
      <c r="I253" s="2">
        <f>SUMIF(BetFlow!B:B,B253,BetFlow!J:J)</f>
        <v>0</v>
      </c>
      <c r="J253" s="2">
        <f>SUMIFS(base[L/P Líquido],base[Data],Extrato!$B253,base[Método],Extrato!J$3,base[Exchange],"Fulltbet")</f>
        <v>0</v>
      </c>
      <c r="K253" s="2">
        <f>SUMIFS(base[L/P Líquido],base[Data],Extrato!$B253,base[Método],Extrato!K$3)</f>
        <v>0</v>
      </c>
      <c r="L253" s="2">
        <f>SUMIFS(base[L/P Líquido],base[Data],Extrato!$B253,base[Método],Extrato!L$3,base[Exchange],"Fulltbet")</f>
        <v>0</v>
      </c>
      <c r="M253" s="2">
        <f>SUMIFS(base[L/P Líquido],base[Data],Extrato!$B253,base[Método],Extrato!M$3,base[Exchange],"Fulltbet")</f>
        <v>-26.459999999999994</v>
      </c>
      <c r="N253" s="2">
        <f>SUMIFS(base[L/P Líquido],base[Data],Extrato!$B253,base[Método],Extrato!N$3,base[Exchange],"Fulltbet")</f>
        <v>38.58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-99.210000000000008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0</v>
      </c>
      <c r="AA253" s="2">
        <f>SUMIFS(base[L/P Líquido],base[Data],Extrato!$B253,base[Método],Extrato!AA$3,base[Exchange],"Fulltbet")</f>
        <v>-98.170000000000016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4564.7749999999942</v>
      </c>
      <c r="AR253" s="2">
        <f t="shared" ref="AR253" si="164">BK252</f>
        <v>581.13156950924872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331.12156950924873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4564.7749999999942</v>
      </c>
      <c r="D254" s="2">
        <f>SUMIFS(base[L/P Líquido],base[Data],Extrato!$B254,base[Método],Extrato!D$3,base[Exchange],"Fulltbet")</f>
        <v>0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Líquido],base[Data],Extrato!$B254,base[Método],Extrato!G$3,base[Exchange],"Fulltbet")</f>
        <v>0</v>
      </c>
      <c r="H254" s="2">
        <f>SUMIFS(base[L/P Líquido],base[Data],Extrato!$B254,base[Método],Extrato!H$3)</f>
        <v>91.68</v>
      </c>
      <c r="I254" s="2">
        <f>SUMIF(BetFlow!B:B,B254,BetFlow!J:J)</f>
        <v>0</v>
      </c>
      <c r="J254" s="2">
        <f>SUMIFS(base[L/P Líquido],base[Data],Extrato!$B254,base[Método],Extrato!J$3,base[Exchange],"Fulltbet")</f>
        <v>0</v>
      </c>
      <c r="K254" s="2">
        <f>SUMIFS(base[L/P Líquido],base[Data],Extrato!$B254,base[Método],Extrato!K$3)</f>
        <v>16.37</v>
      </c>
      <c r="L254" s="2">
        <f>SUMIFS(base[L/P Líquido],base[Data],Extrato!$B254,base[Método],Extrato!L$3,base[Exchange],"Fulltbet")</f>
        <v>0</v>
      </c>
      <c r="M254" s="2">
        <f>SUMIFS(base[L/P Líquido],base[Data],Extrato!$B254,base[Método],Extrato!M$3,base[Exchange],"Fulltbet")</f>
        <v>13.34</v>
      </c>
      <c r="N254" s="2">
        <f>SUMIFS(base[L/P Líquido],base[Data],Extrato!$B254,base[Método],Extrato!N$3,base[Exchange],"Fulltbet")</f>
        <v>9.8699999999999992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4785.5349999999944</v>
      </c>
      <c r="AR254" s="2">
        <f t="shared" ref="AR254" si="168">BK253</f>
        <v>331.12156950924873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358.89156950924871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4785.5349999999944</v>
      </c>
      <c r="D255" s="2">
        <f>SUMIFS(base[L/P Líquido],base[Data],Extrato!$B255,base[Método],Extrato!D$3,base[Exchange],"Fulltbet")</f>
        <v>0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Líquido],base[Data],Extrato!$B255,base[Método],Extrato!F$3)</f>
        <v>8.9699999999999989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0</v>
      </c>
      <c r="I255" s="2">
        <f>SUMIF(BetFlow!B:B,B255,BetFlow!J:J)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Líquido],base[Data],Extrato!$B255,base[Método],Extrato!K$3)</f>
        <v>37.82</v>
      </c>
      <c r="L255" s="2">
        <f>SUMIFS(base[L/P Líquido],base[Data],Extrato!$B255,base[Método],Extrato!L$3,base[Exchange],"Fulltbet")</f>
        <v>0</v>
      </c>
      <c r="M255" s="2">
        <f>SUMIFS(base[L/P Líquido],base[Data],Extrato!$B255,base[Método],Extrato!M$3,base[Exchange],"Fulltbet")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4832.3249999999944</v>
      </c>
      <c r="AR255" s="2">
        <f t="shared" ref="AR255" si="172">BK254</f>
        <v>358.89156950924871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358.89156950924871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4832.3249999999944</v>
      </c>
      <c r="D256" s="2">
        <f>SUMIFS(base[L/P Líquido],base[Data],Extrato!$B256,base[Método],Extrato!D$3,base[Exchange],"Fulltbet")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SUMIF(BetFlow!B:B,B256,BetFlow!J:J)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Líquido],base[Data],Extrato!$B256,base[Método],Extrato!K$3)</f>
        <v>0</v>
      </c>
      <c r="L256" s="2">
        <f>SUMIFS(base[L/P Líquido],base[Data],Extrato!$B256,base[Método],Extrato!L$3,base[Exchange],"Fulltbet")</f>
        <v>0</v>
      </c>
      <c r="M256" s="2">
        <f>SUMIFS(base[L/P Líquido],base[Data],Extrato!$B256,base[Método],Extrato!M$3,base[Exchange],"Fulltbet")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4832.3249999999944</v>
      </c>
      <c r="AR256" s="2">
        <f t="shared" ref="AR256" si="176">BK255</f>
        <v>358.89156950924871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358.89156950924871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4832.3249999999944</v>
      </c>
      <c r="D257" s="2">
        <f>SUMIFS(base[L/P Líquido],base[Data],Extrato!$B257,base[Método],Extrato!D$3,base[Exchange],"Fulltbet")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Líquido],base[Data],Extrato!$B257,base[Método],Extrato!F$3)</f>
        <v>23.490000000000002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0</v>
      </c>
      <c r="I257" s="2">
        <f>SUMIF(BetFlow!B:B,B257,BetFlow!J:J)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Líquido],base[Data],Extrato!$B257,base[Método],Extrato!K$3)</f>
        <v>0</v>
      </c>
      <c r="L257" s="2">
        <f>SUMIFS(base[L/P Líquido],base[Data],Extrato!$B257,base[Método],Extrato!L$3,base[Exchange],"Fulltbet")</f>
        <v>0</v>
      </c>
      <c r="M257" s="2">
        <f>SUMIFS(base[L/P Líquido],base[Data],Extrato!$B257,base[Método],Extrato!M$3,base[Exchange],"Fulltbet")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4855.8049999999939</v>
      </c>
      <c r="AR257" s="2">
        <f t="shared" ref="AR257" si="180">BK256</f>
        <v>358.89156950924871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358.89156950924871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4855.8049999999939</v>
      </c>
      <c r="D258" s="2">
        <f>SUMIFS(base[L/P Líquido],base[Data],Extrato!$B258,base[Método],Extrato!D$3,base[Exchange],"Fulltbet")</f>
        <v>0</v>
      </c>
      <c r="E258" s="2">
        <f>SUMIFS(base[L/P Líquido],base[Data],Extrato!$B258,base[Método],Extrato!E$3,base[Exchange],"Fulltbet")</f>
        <v>42.5</v>
      </c>
      <c r="F258" s="2">
        <f>SUMIFS(base[L/P Líquido],base[Data],Extrato!$B258,base[Método],Extrato!F$3)</f>
        <v>-141.98000000000002</v>
      </c>
      <c r="G258" s="2">
        <f>SUMIFS(base[L/P Líquido],base[Data],Extrato!$B258,base[Método],Extrato!G$3,base[Exchange],"Fulltbet")</f>
        <v>21.83</v>
      </c>
      <c r="H258" s="2">
        <f>SUMIFS(base[L/P Líquido],base[Data],Extrato!$B258,base[Método],Extrato!H$3)</f>
        <v>-45.510000000000005</v>
      </c>
      <c r="I258" s="2">
        <f>SUMIF(BetFlow!B:B,B258,BetFlow!J:J)</f>
        <v>0</v>
      </c>
      <c r="J258" s="2">
        <f>SUMIFS(base[L/P Líquido],base[Data],Extrato!$B258,base[Método],Extrato!J$3,base[Exchange],"Fulltbet")</f>
        <v>0</v>
      </c>
      <c r="K258" s="2">
        <f>SUMIFS(base[L/P Líquido],base[Data],Extrato!$B258,base[Método],Extrato!K$3,base[Exchange],"Fulltbet")</f>
        <v>28.77</v>
      </c>
      <c r="L258" s="2">
        <f>SUMIFS(base[L/P Líquido],base[Data],Extrato!$B258,base[Método],Extrato!L$3,base[Exchange],"Fulltbet")</f>
        <v>0</v>
      </c>
      <c r="M258" s="2">
        <f>SUMIFS(base[L/P Líquido],base[Data],Extrato!$B258,base[Método],Extrato!M$3,base[Exchange],"Fulltbet")</f>
        <v>-35.03</v>
      </c>
      <c r="N258" s="2">
        <f>SUMIFS(base[L/P Líquido],base[Data],Extrato!$B258,base[Método],Extrato!N$3,base[Exchange],"Fulltbet")</f>
        <v>7.69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358.89156950924871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358.89156950924871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0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Líquido],base[Data],Extrato!$B259,base[Método],Extrato!F$3)</f>
        <v>-0.98000000000000131</v>
      </c>
      <c r="G259" s="2">
        <f>SUMIFS(base[L/P Líquido],base[Data],Extrato!$B259,base[Método],Extrato!G$3,base[Exchange],"Fulltbet")</f>
        <v>26.86</v>
      </c>
      <c r="H259" s="2">
        <f>SUMIFS(base[L/P Líquido],base[Data],Extrato!$B259,base[Método],Extrato!H$3)</f>
        <v>142.10000000000002</v>
      </c>
      <c r="I259" s="2">
        <f>SUMIF(BetFlow!B:B,B259,BetFlow!J:J)</f>
        <v>0</v>
      </c>
      <c r="J259" s="2">
        <f>SUMIFS(base[L/P Líquido],base[Data],Extrato!$B259,base[Método],Extrato!J$3,base[Exchange],"Fulltbet")</f>
        <v>0</v>
      </c>
      <c r="K259" s="2">
        <f>SUMIFS(base[L/P Líquido],base[Data],Extrato!$B259,base[Método],Extrato!K$3,base[Exchange],"Fulltbet")</f>
        <v>61.22</v>
      </c>
      <c r="L259" s="2">
        <f>SUMIFS(base[L/P Líquido],base[Data],Extrato!$B259,base[Método],Extrato!L$3,base[Exchange],"Fulltbet")</f>
        <v>13.55</v>
      </c>
      <c r="M259" s="2">
        <f>SUMIFS(base[L/P Líquido],base[Data],Extrato!$B259,base[Método],Extrato!M$3,base[Exchange],"Fulltbet")</f>
        <v>5.7900000000000027</v>
      </c>
      <c r="N259" s="2">
        <f>SUMIFS(base[L/P Líquido],base[Data],Extrato!$B259,base[Método],Extrato!N$3,base[Exchange],"Fulltbet")</f>
        <v>8.5399999999999991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27.28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358.89156950924871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-24.338430490751261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0</v>
      </c>
      <c r="E260" s="2">
        <f>SUMIFS(base[L/P Líquido],base[Data],Extrato!$B260,base[Método],Extrato!E$3,base[Exchange],"Fulltbet")</f>
        <v>-352.95</v>
      </c>
      <c r="F260" s="2">
        <f>SUMIFS(base[L/P Líquido],base[Data],Extrato!$B260,base[Método],Extrato!F$3)</f>
        <v>9.4115500000000001</v>
      </c>
      <c r="G260" s="2">
        <f>SUMIFS(base[L/P Líquido],base[Data],Extrato!$B260,base[Método],Extrato!G$3,base[Exchange],"Fulltbet")</f>
        <v>64.41364999999999</v>
      </c>
      <c r="H260" s="2">
        <f>SUMIFS(base[L/P Líquido],base[Data],Extrato!$B260,base[Método],Extrato!H$3)</f>
        <v>-286.28000000000003</v>
      </c>
      <c r="I260" s="2">
        <f>SUMIF(BetFlow!B:B,B260,BetFlow!J:J)</f>
        <v>0</v>
      </c>
      <c r="J260" s="2">
        <f>SUMIFS(base[L/P Líquido],base[Data],Extrato!$B260,base[Método],Extrato!J$3,base[Exchange],"Fulltbet")</f>
        <v>0</v>
      </c>
      <c r="K260" s="2">
        <f>SUMIFS(base[L/P Líquido],base[Data],Extrato!$B260,base[Método],Extrato!K$3,base[Exchange],"Fulltbet")</f>
        <v>64.17</v>
      </c>
      <c r="L260" s="2">
        <f>SUMIFS(base[L/P Líquido],base[Data],Extrato!$B260,base[Método],Extrato!L$3,base[Exchange],"Fulltbet")</f>
        <v>22.44</v>
      </c>
      <c r="M260" s="2">
        <f>SUMIFS(base[L/P Líquido],base[Data],Extrato!$B260,base[Método],Extrato!M$3,base[Exchange],"Fulltbet")</f>
        <v>-6.9899999999999949</v>
      </c>
      <c r="N260" s="2">
        <f>SUMIFS(base[L/P Líquido],base[Data],Extrato!$B260,base[Método],Extrato!N$3,base[Exchange],"Fulltbet")</f>
        <v>-485.22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-50.59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3996.830199999994</v>
      </c>
      <c r="AR260" s="2">
        <f t="shared" ref="AR260" si="193">BK259</f>
        <v>-24.338430490751261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-24.338430490751261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3996.830199999994</v>
      </c>
      <c r="D261" s="2">
        <f>SUMIFS(base[L/P Líquido],base[Data],Extrato!$B261,base[Método],Extrato!D$3,base[Exchange],"Fulltbet")</f>
        <v>0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Líquido],base[Data],Extrato!$B261,base[Método],Extrato!F$3)</f>
        <v>22.782250000000001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0</v>
      </c>
      <c r="I261" s="2">
        <f>SUMIF(BetFlow!B:B,B261,BetFlow!J:J)</f>
        <v>0</v>
      </c>
      <c r="J261" s="2">
        <f>SUMIFS(base[L/P Líquido],base[Data],Extrato!$B261,base[Método],Extrato!J$3,base[Exchange],"Fulltbet")</f>
        <v>0</v>
      </c>
      <c r="K261" s="2">
        <f>SUMIFS(base[L/P Líquido],base[Data],Extrato!$B261,base[Método],Extrato!K$3,base[Exchange],"Fulltbet")</f>
        <v>38.199999999999996</v>
      </c>
      <c r="L261" s="2">
        <f>SUMIFS(base[L/P Líquido],base[Data],Extrato!$B261,base[Método],Extrato!L$3,base[Exchange],"Fulltbet")</f>
        <v>30.28</v>
      </c>
      <c r="M261" s="2">
        <f>SUMIFS(base[L/P Líquido],base[Data],Extrato!$B261,base[Método],Extrato!M$3,base[Exchange],"Fulltbet")</f>
        <v>12.6</v>
      </c>
      <c r="N261" s="2">
        <f>SUMIFS(base[L/P Líquido],base[Data],Extrato!$B261,base[Método],Extrato!N$3,base[Exchange],"Fulltbet")</f>
        <v>16.82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:AP280" si="198">SUM(C261:AO261)</f>
        <v>4117.522449999994</v>
      </c>
      <c r="AR261" s="2">
        <f t="shared" ref="AR261" si="199">BK260</f>
        <v>-24.338430490751261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-24.338430490751261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Líquido],base[Data],Extrato!$B262,base[Método],Extrato!F$3)</f>
        <v>11.252000000000001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0</v>
      </c>
      <c r="I262" s="2">
        <f>SUMIF(BetFlow!B:B,B262,BetFlow!J:J)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0</v>
      </c>
      <c r="L262" s="2">
        <f>SUMIFS(base[L/P Líquido],base[Data],Extrato!$B262,base[Método],Extrato!L$3,base[Exchange],"Fulltbet")</f>
        <v>0</v>
      </c>
      <c r="M262" s="2">
        <f>SUMIFS(base[L/P Líquido],base[Data],Extrato!$B262,base[Método],Extrato!M$3,base[Exchange],"Fulltbet")</f>
        <v>14.921099999999999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si="198"/>
        <v>4143.6855499999938</v>
      </c>
      <c r="AR262" s="2">
        <f t="shared" ref="AR262" si="203">BK261</f>
        <v>-24.338430490751261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4">SUM(AR262:BJ262)</f>
        <v>-24.338430490751261</v>
      </c>
      <c r="BM262" s="2">
        <f t="shared" ref="BM262" si="205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6">AP262</f>
        <v>4143.6855499999938</v>
      </c>
      <c r="D263" s="2">
        <f>SUMIFS(base[L/P Líquido],base[Data],Extrato!$B263,base[Método],Extrato!D$3,base[Exchange],"Fulltbet")</f>
        <v>0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Líquido],base[Data],Extrato!$B263,base[Método],Extrato!F$3)</f>
        <v>19.670000000000002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0</v>
      </c>
      <c r="I263" s="2">
        <f>SUMIF(BetFlow!B:B,B263,BetFlow!J:J)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17.059999999999999</v>
      </c>
      <c r="L263" s="2">
        <f>SUMIFS(base[L/P Líquido],base[Data],Extrato!$B263,base[Método],Extrato!L$3,base[Exchange],"Fulltbet")</f>
        <v>15.28</v>
      </c>
      <c r="M263" s="2">
        <f>SUMIFS(base[L/P Líquido],base[Data],Extrato!$B263,base[Método],Extrato!M$3,base[Exchange],"Fulltbet")</f>
        <v>-11.32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si="198"/>
        <v>4184.3755499999943</v>
      </c>
      <c r="AR263" s="2">
        <f t="shared" ref="AR263" si="207">BK262</f>
        <v>-24.338430490751261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08">SUM(AR263:BJ263)</f>
        <v>-24.338430490751261</v>
      </c>
      <c r="BM263" s="2">
        <f t="shared" ref="BM263" si="209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0">AP263</f>
        <v>4184.3755499999943</v>
      </c>
      <c r="D264" s="2">
        <f>SUMIFS(base[L/P Líquido],base[Data],Extrato!$B264,base[Método],Extrato!D$3,base[Exchange],"Fulltbet")</f>
        <v>0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Líquido],base[Data],Extrato!$B264,base[Método],Extrato!F$3)</f>
        <v>-6.52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0</v>
      </c>
      <c r="I264" s="2">
        <f>SUMIF(BetFlow!B:B,B264,BetFlow!J:J)</f>
        <v>0</v>
      </c>
      <c r="J264" s="2">
        <f>SUMIFS(base[L/P Líquido],base[Data],Extrato!$B264,base[Método],Extrato!J$3,base[Exchange],"Fulltbet")</f>
        <v>0</v>
      </c>
      <c r="K264" s="2">
        <f>SUMIFS(base[L/P Líquido],base[Data],Extrato!$B264,base[Método],Extrato!K$3,base[Exchange],"Fulltbet")</f>
        <v>41.34</v>
      </c>
      <c r="L264" s="2">
        <f>SUMIFS(base[L/P Líquido],base[Data],Extrato!$B264,base[Método],Extrato!L$3,base[Exchange],"Fulltbet")</f>
        <v>29.33</v>
      </c>
      <c r="M264" s="2">
        <f>SUMIFS(base[L/P Líquido],base[Data],Extrato!$B264,base[Método],Extrato!M$3,base[Exchange],"Fulltbet")</f>
        <v>6.49</v>
      </c>
      <c r="N264" s="2">
        <f>SUMIFS(base[L/P Líquido],base[Data],Extrato!$B264,base[Método],Extrato!N$3,base[Exchange],"Fulltbet")</f>
        <v>20.059999999999999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si="198"/>
        <v>4275.0755499999941</v>
      </c>
      <c r="AR264" s="2">
        <f t="shared" ref="AR264" si="211">BK263</f>
        <v>-24.338430490751261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2">SUM(AR264:BJ264)</f>
        <v>-24.338430490751261</v>
      </c>
      <c r="BM264" s="2">
        <f t="shared" ref="BM264" si="213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4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Líquido],base[Data],Extrato!$B265,base[Método],Extrato!F$3)</f>
        <v>14.629999999999999</v>
      </c>
      <c r="G265" s="2">
        <f>SUMIFS(base[L/P Líquido],base[Data],Extrato!$B265,base[Método],Extrato!G$3,base[Exchange],"Fulltbet")</f>
        <v>119.94710000000001</v>
      </c>
      <c r="H265" s="2">
        <f>SUMIFS(base[L/P Líquido],base[Data],Extrato!$B265,base[Método],Extrato!H$3)</f>
        <v>-120</v>
      </c>
      <c r="I265" s="2">
        <f>SUMIF(BetFlow!B:B,B265,BetFlow!J:J)</f>
        <v>0</v>
      </c>
      <c r="J265" s="2">
        <f>SUMIFS(base[L/P Líquido],base[Data],Extrato!$B265,base[Método],Extrato!J$3,base[Exchange],"Fulltbet")</f>
        <v>0</v>
      </c>
      <c r="K265" s="2">
        <f>SUMIFS(base[L/P Líquido],base[Data],Extrato!$B265,base[Método],Extrato!K$3,base[Exchange],"Fulltbet")</f>
        <v>0</v>
      </c>
      <c r="L265" s="2">
        <f>SUMIFS(base[L/P Líquido],base[Data],Extrato!$B265,base[Método],Extrato!L$3,base[Exchange],"Fulltbet")</f>
        <v>0</v>
      </c>
      <c r="M265" s="2">
        <f>SUMIFS(base[L/P Líquido],base[Data],Extrato!$B265,base[Método],Extrato!M$3,base[Exchange],"Fulltbet")</f>
        <v>4.97</v>
      </c>
      <c r="N265" s="2">
        <f>SUMIFS(base[L/P Líquido],base[Data],Extrato!$B265,base[Método],Extrato!N$3,base[Exchange],"Fulltbet")</f>
        <v>42.786499999999997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si="198"/>
        <v>4337.409149999995</v>
      </c>
      <c r="AR265" s="2">
        <f t="shared" ref="AR265" si="215">BK264</f>
        <v>-24.338430490751261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16">SUM(AR265:BJ265)</f>
        <v>-24.338430490751261</v>
      </c>
      <c r="BM265" s="2">
        <f t="shared" ref="BM265" si="217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18">AP265</f>
        <v>4337.409149999995</v>
      </c>
      <c r="D266" s="2">
        <f>SUMIFS(base[L/P Líquido],base[Data],Extrato!$B266,base[Método],Extrato!D$3,base[Exchange],"Fulltbet")</f>
        <v>0</v>
      </c>
      <c r="E266" s="2">
        <f>SUMIFS(base[L/P Líquido],base[Data],Extrato!$B266,base[Método],Extrato!E$3,base[Exchange],"Fulltbet")</f>
        <v>-300.66000000000003</v>
      </c>
      <c r="F266" s="2">
        <f>SUMIFS(base[L/P Líquido],base[Data],Extrato!$B266,base[Método],Extrato!F$3)</f>
        <v>16.869999999999997</v>
      </c>
      <c r="G266" s="2">
        <f>SUMIFS(base[L/P Líquido],base[Data],Extrato!$B266,base[Método],Extrato!G$3,base[Exchange],"Fulltbet")</f>
        <v>30.56</v>
      </c>
      <c r="H266" s="2">
        <f>SUMIFS(base[L/P Líquido],base[Data],Extrato!$B266,base[Método],Extrato!H$3)</f>
        <v>-24.5</v>
      </c>
      <c r="I266" s="2">
        <f>SUMIF(BetFlow!B:B,B266,BetFlow!J:J)</f>
        <v>0</v>
      </c>
      <c r="J266" s="2">
        <f>SUMIFS(base[L/P Líquido],base[Data],Extrato!$B266,base[Método],Extrato!J$3,base[Exchange],"Fulltbet")</f>
        <v>0</v>
      </c>
      <c r="K266" s="2">
        <f>SUMIFS(base[L/P Líquido],base[Data],Extrato!$B266,base[Método],Extrato!K$3,base[Exchange],"Fulltbet")</f>
        <v>40.68</v>
      </c>
      <c r="L266" s="2">
        <f>SUMIFS(base[L/P Líquido],base[Data],Extrato!$B266,base[Método],Extrato!L$3,base[Exchange],"Fulltbet")</f>
        <v>-234.99</v>
      </c>
      <c r="M266" s="2">
        <f>SUMIFS(base[L/P Líquido],base[Data],Extrato!$B266,base[Método],Extrato!M$3,base[Exchange],"Fulltbet")</f>
        <v>-48.34</v>
      </c>
      <c r="N266" s="2">
        <f>SUMIFS(base[L/P Líquido],base[Data],Extrato!$B266,base[Método],Extrato!N$3,base[Exchange],"Fulltbet")</f>
        <v>45.989999999999995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20.65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Líquido],base[Data],Extrato!$B266,base[Método],Extrato!AA$3,base[Exchange],"Fulltbet")</f>
        <v>0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si="198"/>
        <v>3883.6391499999945</v>
      </c>
      <c r="AR266" s="2">
        <f t="shared" ref="AR266" si="219">BK265</f>
        <v>-24.338430490751261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0">SUM(AR266:BJ266)</f>
        <v>-24.338430490751261</v>
      </c>
      <c r="BM266" s="2">
        <f t="shared" ref="BM266" si="221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2">SUM(BM266:BW266)</f>
        <v>743.96</v>
      </c>
    </row>
    <row r="267" spans="2:76" ht="15" customHeight="1">
      <c r="B267" s="33">
        <v>46257</v>
      </c>
      <c r="C267" s="2">
        <f t="shared" ref="C267" si="223">AP266</f>
        <v>3883.6391499999945</v>
      </c>
      <c r="D267" s="2">
        <f>SUMIFS(base[L/P Líquido],base[Data],Extrato!$B267,base[Método],Extrato!D$3,base[Exchange],"Fulltbet")</f>
        <v>78.63</v>
      </c>
      <c r="E267" s="2">
        <f>SUMIFS(base[L/P Líquido],base[Data],Extrato!$B267,base[Método],Extrato!E$3,base[Exchange],"Fulltbet")</f>
        <v>131.37</v>
      </c>
      <c r="F267" s="2">
        <f>SUMIFS(base[L/P Líquido],base[Data],Extrato!$B267,base[Método],Extrato!F$3)</f>
        <v>-36.33</v>
      </c>
      <c r="G267" s="2">
        <f>SUMIFS(base[L/P Líquido],base[Data],Extrato!$B267,base[Método],Extrato!G$3,base[Exchange],"Fulltbet")</f>
        <v>81.305599999999998</v>
      </c>
      <c r="H267" s="2">
        <f>SUMIFS(base[L/P Líquido],base[Data],Extrato!$B267,base[Método],Extrato!H$3)</f>
        <v>41.610000000000014</v>
      </c>
      <c r="I267" s="2">
        <f>SUMIF(BetFlow!B:B,B267,BetFlow!J:J)</f>
        <v>0</v>
      </c>
      <c r="J267" s="2">
        <f>SUMIFS(base[L/P Líquido],base[Data],Extrato!$B267,base[Método],Extrato!J$3,base[Exchange],"Fulltbet")</f>
        <v>0</v>
      </c>
      <c r="K267" s="2">
        <f>SUMIFS(base[L/P Líquido],base[Data],Extrato!$B267,base[Método],Extrato!K$3,base[Exchange],"Fulltbet")</f>
        <v>62.11</v>
      </c>
      <c r="L267" s="2">
        <f>SUMIFS(base[L/P Líquido],base[Data],Extrato!$B267,base[Método],Extrato!L$3,base[Exchange],"Fulltbet")</f>
        <v>26.53</v>
      </c>
      <c r="M267" s="2">
        <f>SUMIFS(base[L/P Líquido],base[Data],Extrato!$B267,base[Método],Extrato!M$3,base[Exchange],"Fulltbet")</f>
        <v>-36.950000000000003</v>
      </c>
      <c r="N267" s="2">
        <f>SUMIFS(base[L/P Líquido],base[Data],Extrato!$B267,base[Método],Extrato!N$3,base[Exchange],"Fulltbet")</f>
        <v>52.75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57.160150000000002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Líquido],base[Data],Extrato!$B267,base[Método],Extrato!AA$3,base[Exchange],"Fulltbet")</f>
        <v>0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si="198"/>
        <v>4341.7948999999935</v>
      </c>
      <c r="AR267" s="2">
        <f t="shared" ref="AR267" si="224">BK266</f>
        <v>-24.338430490751261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25">SUM(AR267:BJ267)</f>
        <v>-24.338430490751261</v>
      </c>
      <c r="BM267" s="2">
        <f t="shared" ref="BM267" si="226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27">SUM(BM267:BW267)</f>
        <v>743.96</v>
      </c>
    </row>
    <row r="268" spans="2:76" ht="15" customHeight="1">
      <c r="B268" s="33">
        <v>46258</v>
      </c>
      <c r="C268" s="2">
        <f t="shared" ref="C268" si="228">AP267</f>
        <v>4341.7948999999935</v>
      </c>
      <c r="D268" s="2">
        <f>SUMIFS(base[L/P Líquido],base[Data],Extrato!$B268,base[Método],Extrato!D$3,base[Exchange],"Fulltbet")</f>
        <v>0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Líquido],base[Data],Extrato!$B268,base[Método],Extrato!F$3)</f>
        <v>8.4699999999999989</v>
      </c>
      <c r="G268" s="2">
        <f>SUMIFS(base[L/P Líquido],base[Data],Extrato!$B268,base[Método],Extrato!G$3,base[Exchange],"Fulltbet")</f>
        <v>140.24605</v>
      </c>
      <c r="H268" s="2">
        <f>SUMIFS(base[L/P Líquido],base[Data],Extrato!$B268,base[Método],Extrato!H$3)</f>
        <v>0</v>
      </c>
      <c r="I268" s="2">
        <f>SUMIF(BetFlow!B:B,B268,BetFlow!J:J)</f>
        <v>0</v>
      </c>
      <c r="J268" s="2">
        <f>SUMIFS(base[L/P Líquido],base[Data],Extrato!$B268,base[Método],Extrato!J$3,base[Exchange],"Fulltbet")</f>
        <v>0</v>
      </c>
      <c r="K268" s="2">
        <f>SUMIFS(base[L/P Líquido],base[Data],Extrato!$B268,base[Método],Extrato!K$3,base[Exchange],"Fulltbet")</f>
        <v>44.59</v>
      </c>
      <c r="L268" s="2">
        <f>SUMIFS(base[L/P Líquido],base[Data],Extrato!$B268,base[Método],Extrato!L$3,base[Exchange],"Fulltbet")</f>
        <v>20.69</v>
      </c>
      <c r="M268" s="2">
        <f>SUMIFS(base[L/P Líquido],base[Data],Extrato!$B268,base[Método],Extrato!M$3,base[Exchange],"Fulltbet")</f>
        <v>0</v>
      </c>
      <c r="N268" s="2">
        <f>SUMIFS(base[L/P Líquido],base[Data],Extrato!$B268,base[Método],Extrato!N$3,base[Exchange],"Fulltbet")</f>
        <v>19.77805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Líquido],base[Data],Extrato!$B268,base[Método],Extrato!AA$3,base[Exchange],"Fulltbet")</f>
        <v>0</v>
      </c>
      <c r="AB268" s="2">
        <f>SUMIFS(base[L/P Líquido],base[Data],Extrato!$B268,base[Método],Extrato!AB$3)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si="198"/>
        <v>4575.5489999999927</v>
      </c>
      <c r="AR268" s="2">
        <f t="shared" ref="AR268" si="229">BK267</f>
        <v>-24.338430490751261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0">SUM(AR268:BJ268)</f>
        <v>-24.338430490751261</v>
      </c>
      <c r="BM268" s="2">
        <f t="shared" ref="BM268" si="231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2">SUM(BM268:BW268)</f>
        <v>743.96</v>
      </c>
    </row>
    <row r="269" spans="2:76" ht="15" customHeight="1">
      <c r="B269" s="33">
        <v>46259</v>
      </c>
      <c r="C269" s="2">
        <f t="shared" ref="C269" si="233">AP268</f>
        <v>4575.5489999999927</v>
      </c>
      <c r="D269" s="2">
        <f>SUMIFS(base[L/P Líquido],base[Data],Extrato!$B269,base[Método],Extrato!D$3,base[Exchange],"Fulltbet")</f>
        <v>-123.72</v>
      </c>
      <c r="E269" s="2">
        <f>SUMIFS(base[L/P Líquido],base[Data],Extrato!$B269,base[Método],Extrato!E$3,base[Exchange],"Fulltbet")</f>
        <v>0</v>
      </c>
      <c r="F269" s="2">
        <f>SUMIFS(base[L/P Líquido],base[Data],Extrato!$B269,base[Método],Extrato!F$3)</f>
        <v>20.05</v>
      </c>
      <c r="G269" s="2">
        <f>SUMIFS(base[L/P Líquido],base[Data],Extrato!$B269,base[Método],Extrato!G$3,base[Exchange],"Fulltbet")</f>
        <v>42.58</v>
      </c>
      <c r="H269" s="2">
        <f>SUMIFS(base[L/P Líquido],base[Data],Extrato!$B269,base[Método],Extrato!H$3)</f>
        <v>0</v>
      </c>
      <c r="I269" s="2">
        <f>SUMIF(BetFlow!B:B,B269,BetFlow!J:J)</f>
        <v>0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33.43</v>
      </c>
      <c r="L269" s="2">
        <f>SUMIFS(base[L/P Líquido],base[Data],Extrato!$B269,base[Método],Extrato!L$3,base[Exchange],"Fulltbet")</f>
        <v>0</v>
      </c>
      <c r="M269" s="2">
        <f>SUMIFS(base[L/P Líquido],base[Data],Extrato!$B269,base[Método],Extrato!M$3,base[Exchange],"Fulltbet")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Líquido],base[Data],Extrato!$B269,base[Método],Extrato!AA$3,base[Exchange],"Fulltbet")</f>
        <v>0</v>
      </c>
      <c r="AB269" s="2">
        <f>SUMIFS(base[L/P Líquido],base[Data],Extrato!$B269,base[Método],Extrato!AB$3)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si="198"/>
        <v>4547.8989999999931</v>
      </c>
      <c r="AR269" s="2">
        <f t="shared" ref="AR269" si="234">BK268</f>
        <v>-24.338430490751261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35">SUM(AR269:BJ269)</f>
        <v>-24.338430490751261</v>
      </c>
      <c r="BM269" s="2">
        <f t="shared" ref="BM269" si="236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37">SUM(BM269:BW269)</f>
        <v>743.96</v>
      </c>
    </row>
    <row r="270" spans="2:76" ht="15" customHeight="1">
      <c r="B270" s="33">
        <v>46260</v>
      </c>
      <c r="C270" s="2">
        <f t="shared" ref="C270" si="238">AP269</f>
        <v>4547.8989999999931</v>
      </c>
      <c r="D270" s="2">
        <f>SUMIFS(base[L/P Líquido],base[Data],Extrato!$B270,base[Método],Extrato!D$3,base[Exchange],"Fulltbet")</f>
        <v>0</v>
      </c>
      <c r="E270" s="2">
        <f>SUMIFS(base[L/P Líquido],base[Data],Extrato!$B270,base[Método],Extrato!E$3,base[Exchange],"Fulltbet")</f>
        <v>38.200000000000003</v>
      </c>
      <c r="F270" s="2">
        <f>SUMIFS(base[L/P Líquido],base[Data],Extrato!$B270,base[Método],Extrato!F$3)</f>
        <v>-134.46</v>
      </c>
      <c r="G270" s="2">
        <f>SUMIFS(base[L/P Líquido],base[Data],Extrato!$B270,base[Método],Extrato!G$3,base[Exchange],"Fulltbet")</f>
        <v>0</v>
      </c>
      <c r="H270" s="2">
        <f>SUMIFS(base[L/P Líquido],base[Data],Extrato!$B270,base[Método],Extrato!H$3)</f>
        <v>90.44</v>
      </c>
      <c r="I270" s="2">
        <f>SUMIF(BetFlow!B:B,B270,BetFlow!J:J)</f>
        <v>0</v>
      </c>
      <c r="J270" s="2">
        <f>SUMIFS(base[L/P Líquido],base[Data],Extrato!$B270,base[Método],Extrato!J$3,base[Exchange],"Fulltbet")</f>
        <v>0</v>
      </c>
      <c r="K270" s="2">
        <f>SUMIFS(base[L/P Líquido],base[Data],Extrato!$B270,base[Método],Extrato!K$3,base[Exchange],"Fulltbet")</f>
        <v>20.100000000000001</v>
      </c>
      <c r="L270" s="2">
        <f>SUMIFS(base[L/P Líquido],base[Data],Extrato!$B270,base[Método],Extrato!L$3,base[Exchange],"Fulltbet")</f>
        <v>0</v>
      </c>
      <c r="M270" s="2">
        <f>SUMIFS(base[L/P Líquido],base[Data],Extrato!$B270,base[Método],Extrato!M$3,base[Exchange],"Fulltbet")</f>
        <v>0</v>
      </c>
      <c r="N270" s="2">
        <f>SUMIFS(base[L/P Líquido],base[Data],Extrato!$B270,base[Método],Extrato!N$3,base[Exchange],"Fulltbet")</f>
        <v>10.92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Líquido],base[Data],Extrato!$B270,base[Método],Extrato!AA$3,base[Exchange],"Fulltbet")</f>
        <v>0</v>
      </c>
      <c r="AB270" s="2">
        <f>SUMIFS(base[L/P Líquido],base[Data],Extrato!$B270,base[Método],Extrato!AB$3)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si="198"/>
        <v>4573.0889999999927</v>
      </c>
      <c r="AR270" s="2">
        <f t="shared" ref="AR270" si="239">BK269</f>
        <v>-24.338430490751261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0">SUM(AR270:BJ270)</f>
        <v>-24.338430490751261</v>
      </c>
      <c r="BM270" s="2">
        <f t="shared" ref="BM270" si="241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42">SUM(BM270:BW270)</f>
        <v>743.96</v>
      </c>
    </row>
    <row r="271" spans="2:76" ht="15" customHeight="1">
      <c r="B271" s="33">
        <v>46261</v>
      </c>
      <c r="C271" s="2">
        <f t="shared" ref="C271" si="243">AP270</f>
        <v>4573.0889999999927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35.020000000000003</v>
      </c>
      <c r="F271" s="2">
        <f>SUMIFS(base[L/P Líquido],base[Data],Extrato!$B271,base[Método],Extrato!F$3)</f>
        <v>0</v>
      </c>
      <c r="G271" s="2">
        <f>SUMIFS(base[L/P Líquido],base[Data],Extrato!$B271,base[Método],Extrato!G$3,base[Exchange],"Fulltbet")</f>
        <v>0</v>
      </c>
      <c r="H271" s="2">
        <f>SUMIFS(base[L/P Líquido],base[Data],Extrato!$B271,base[Método],Extrato!H$3)</f>
        <v>0</v>
      </c>
      <c r="I271" s="2">
        <f>SUMIF(BetFlow!B:B,B271,BetFlow!J:J)</f>
        <v>0</v>
      </c>
      <c r="J271" s="2">
        <f>SUMIFS(base[L/P Líquido],base[Data],Extrato!$B271,base[Método],Extrato!J$3,base[Exchange],"Fulltbet")</f>
        <v>0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Líquido],base[Data],Extrato!$B271,base[Método],Extrato!L$3,base[Exchange],"Fulltbet")</f>
        <v>0</v>
      </c>
      <c r="M271" s="2">
        <f>SUMIFS(base[L/P Líquido],base[Data],Extrato!$B271,base[Método],Extrato!M$3,base[Exchange],"Fulltbet")</f>
        <v>0</v>
      </c>
      <c r="N271" s="2">
        <f>SUMIFS(base[L/P Líquido],base[Data],Extrato!$B271,base[Método],Extrato!N$3,base[Exchange],"Fulltbet")</f>
        <v>28.32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Líquido],base[Data],Extrato!$B271,base[Método],Extrato!AA$3,base[Exchange],"Fulltbet")</f>
        <v>0</v>
      </c>
      <c r="AB271" s="2">
        <f>SUMIFS(base[L/P Líquido],base[Data],Extrato!$B271,base[Método],Extrato!AB$3)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si="198"/>
        <v>4636.4189999999926</v>
      </c>
      <c r="AR271" s="2">
        <f t="shared" ref="AR271" si="244">BK270</f>
        <v>-24.338430490751261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45">SUM(AR271:BJ271)</f>
        <v>-24.338430490751261</v>
      </c>
      <c r="BM271" s="2">
        <f t="shared" ref="BM271" si="24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47">SUM(BM271:BW271)</f>
        <v>743.96</v>
      </c>
    </row>
    <row r="272" spans="2:76" ht="15" customHeight="1">
      <c r="B272" s="33">
        <v>46262</v>
      </c>
      <c r="C272" s="2">
        <f t="shared" ref="C272" si="248">AP271</f>
        <v>4636.4189999999926</v>
      </c>
      <c r="D272" s="2">
        <f>SUMIFS(base[L/P Líquido],base[Data],Extrato!$B272,base[Método],Extrato!D$3,base[Exchange],"Fulltbet")</f>
        <v>0</v>
      </c>
      <c r="E272" s="2">
        <f>SUMIFS(base[L/P Líquido],base[Data],Extrato!$B272,base[Método],Extrato!E$3,base[Exchange],"Fulltbet")</f>
        <v>122.24000000000001</v>
      </c>
      <c r="F272" s="2">
        <f>SUMIFS(base[L/P Líquido],base[Data],Extrato!$B272,base[Método],Extrato!F$3)</f>
        <v>-63.550000000000004</v>
      </c>
      <c r="G272" s="2">
        <f>SUMIFS(base[L/P Líquido],base[Data],Extrato!$B272,base[Método],Extrato!G$3,base[Exchange],"Fulltbet")</f>
        <v>-364.48999999999995</v>
      </c>
      <c r="H272" s="2">
        <f>SUMIFS(base[L/P Líquido],base[Data],Extrato!$B272,base[Método],Extrato!H$3)</f>
        <v>151.13</v>
      </c>
      <c r="I272" s="2">
        <f>SUMIF(BetFlow!B:B,B272,BetFlow!J:J)</f>
        <v>0</v>
      </c>
      <c r="J272" s="2">
        <f>SUMIFS(base[L/P Líquido],base[Data],Extrato!$B272,base[Método],Extrato!J$3,base[Exchange],"Fulltbet")</f>
        <v>0</v>
      </c>
      <c r="K272" s="2">
        <f>SUMIFS(base[L/P Líquido],base[Data],Extrato!$B272,base[Método],Extrato!K$3,base[Exchange],"Fulltbet")</f>
        <v>-394.91</v>
      </c>
      <c r="L272" s="2">
        <f>SUMIFS(base[L/P Líquido],base[Data],Extrato!$B272,base[Método],Extrato!L$3,base[Exchange],"Fulltbet")</f>
        <v>0</v>
      </c>
      <c r="M272" s="2">
        <f>SUMIFS(base[L/P Líquido],base[Data],Extrato!$B272,base[Método],Extrato!M$3,base[Exchange],"Fulltbet")</f>
        <v>0</v>
      </c>
      <c r="N272" s="2">
        <f>SUMIFS(base[L/P Líquido],base[Data],Extrato!$B272,base[Método],Extrato!N$3,base[Exchange],"Fulltbet")</f>
        <v>9.73</v>
      </c>
      <c r="O272" s="2">
        <f>SUMIFS(base[L/P Líquido],base[Data],Extrato!$B272,base[Método],Extrato!O$3,base[Exchange],"Fulltbet")</f>
        <v>0</v>
      </c>
      <c r="P272" s="2">
        <f>SUMIFS(base[L/P Líquido],base[Data],Extrato!$B272,base[Método],Extrato!P$3)</f>
        <v>0</v>
      </c>
      <c r="Q272" s="2">
        <f>SUMIFS(base[L/P Líquido],base[Data],Extrato!$B272,base[Método],Extrato!Q$3,base[Exchange],"Fulltbet")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Líquido],base[Data],Extrato!$B272,base[Método],Extrato!AA$3,base[Exchange],"Fulltbet")</f>
        <v>0</v>
      </c>
      <c r="AB272" s="2">
        <f>SUMIFS(base[L/P Líquido],base[Data],Extrato!$B272,base[Método],Extrato!AB$3)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si="198"/>
        <v>4096.5689999999922</v>
      </c>
      <c r="AR272" s="2">
        <f t="shared" ref="AR272" si="249">BK271</f>
        <v>-24.338430490751261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50">SUM(AR272:BJ272)</f>
        <v>-24.338430490751261</v>
      </c>
      <c r="BM272" s="2">
        <f t="shared" ref="BM272" si="251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52">SUM(BM272:BW272)</f>
        <v>743.96</v>
      </c>
    </row>
    <row r="273" spans="2:76" ht="15" customHeight="1">
      <c r="B273" s="33">
        <v>46263</v>
      </c>
      <c r="C273" s="2">
        <f t="shared" ref="C273" si="253">AP272</f>
        <v>4096.5689999999922</v>
      </c>
      <c r="D273" s="2">
        <f>SUMIFS(base[L/P Líquido],base[Data],Extrato!$B273,base[Método],Extrato!D$3,base[Exchange],"Fulltbet")</f>
        <v>0</v>
      </c>
      <c r="E273" s="2">
        <f>SUMIFS(base[L/P Líquido],base[Data],Extrato!$B273,base[Método],Extrato!E$3,base[Exchange],"Fulltbet")</f>
        <v>95.33</v>
      </c>
      <c r="F273" s="2">
        <f>SUMIFS(base[L/P Líquido],base[Data],Extrato!$B273,base[Método],Extrato!F$3)</f>
        <v>60.63000000000001</v>
      </c>
      <c r="G273" s="2">
        <f>SUMIFS(base[L/P Líquido],base[Data],Extrato!$B273,base[Método],Extrato!G$3,base[Exchange],"Fulltbet")</f>
        <v>133.535</v>
      </c>
      <c r="H273" s="2">
        <f>SUMIFS(base[L/P Líquido],base[Data],Extrato!$B273,base[Método],Extrato!H$3)</f>
        <v>42.730000000000018</v>
      </c>
      <c r="I273" s="2">
        <f>SUMIF(BetFlow!B:B,B273,BetFlow!J:J)</f>
        <v>0</v>
      </c>
      <c r="J273" s="2">
        <f>SUMIFS(base[L/P Líquido],base[Data],Extrato!$B273,base[Método],Extrato!J$3,base[Exchange],"Fulltbet")</f>
        <v>0</v>
      </c>
      <c r="K273" s="2">
        <f>SUMIFS(base[L/P Líquido],base[Data],Extrato!$B273,base[Método],Extrato!K$3,base[Exchange],"Fulltbet")</f>
        <v>-399.87055000000004</v>
      </c>
      <c r="L273" s="2">
        <f>SUMIFS(base[L/P Líquido],base[Data],Extrato!$B273,base[Método],Extrato!L$3,base[Exchange],"Fulltbet")</f>
        <v>-245.56000000000003</v>
      </c>
      <c r="M273" s="2">
        <f>SUMIFS(base[L/P Líquido],base[Data],Extrato!$B273,base[Método],Extrato!M$3,base[Exchange],"Fulltbet")</f>
        <v>0</v>
      </c>
      <c r="N273" s="2">
        <f>SUMIFS(base[L/P Líquido],base[Data],Extrato!$B273,base[Método],Extrato!N$3,base[Exchange],"Fulltbet")</f>
        <v>7.24</v>
      </c>
      <c r="O273" s="2">
        <f>SUMIFS(base[L/P Líquido],base[Data],Extrato!$B273,base[Método],Extrato!O$3,base[Exchange],"Fulltbet")</f>
        <v>0</v>
      </c>
      <c r="P273" s="2">
        <f>SUMIFS(base[L/P Líquido],base[Data],Extrato!$B273,base[Método],Extrato!P$3)</f>
        <v>0</v>
      </c>
      <c r="Q273" s="2">
        <f>SUMIFS(base[L/P Líquido],base[Data],Extrato!$B273,base[Método],Extrato!Q$3,base[Exchange],"Fulltbet")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86.96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Líquido],base[Data],Extrato!$B273,base[Método],Extrato!AA$3,base[Exchange],"Fulltbet")</f>
        <v>0</v>
      </c>
      <c r="AB273" s="2">
        <f>SUMIFS(base[L/P Líquido],base[Data],Extrato!$B273,base[Método],Extrato!AB$3)</f>
        <v>0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 t="shared" si="198"/>
        <v>3877.5634499999924</v>
      </c>
      <c r="AR273" s="2">
        <f t="shared" ref="AR273" si="254">BK272</f>
        <v>-24.338430490751261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55">SUM(AR273:BJ273)</f>
        <v>-24.338430490751261</v>
      </c>
      <c r="BM273" s="2">
        <f t="shared" ref="BM273" si="256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57">SUM(BM273:BW273)</f>
        <v>743.96</v>
      </c>
    </row>
    <row r="274" spans="2:76" ht="15" customHeight="1">
      <c r="B274" s="33">
        <v>46264</v>
      </c>
      <c r="C274" s="2">
        <f t="shared" ref="C274" si="258">AP273</f>
        <v>3877.5634499999924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113.99</v>
      </c>
      <c r="F274" s="2">
        <f>SUMIFS(base[L/P Líquido],base[Data],Extrato!$B274,base[Método],Extrato!F$3)</f>
        <v>32.986249999999998</v>
      </c>
      <c r="G274" s="2">
        <f>SUMIFS(base[L/P Líquido],base[Data],Extrato!$B274,base[Método],Extrato!G$3,base[Exchange],"Fulltbet")</f>
        <v>146.0386</v>
      </c>
      <c r="H274" s="2">
        <f>SUMIFS(base[L/P Líquido],base[Data],Extrato!$B274,base[Método],Extrato!H$3)</f>
        <v>114.6</v>
      </c>
      <c r="I274" s="2">
        <f>SUMIF(BetFlow!B:B,B274,BetFlow!J:J)</f>
        <v>0</v>
      </c>
      <c r="J274" s="2">
        <f>SUMIFS(base[L/P Líquido],base[Data],Extrato!$B274,base[Método],Extrato!J$3,base[Exchange],"Fulltbet")</f>
        <v>0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Líquido],base[Data],Extrato!$B274,base[Método],Extrato!L$3,base[Exchange],"Fulltbet")</f>
        <v>0</v>
      </c>
      <c r="M274" s="2">
        <f>SUMIFS(base[L/P Líquido],base[Data],Extrato!$B274,base[Método],Extrato!M$3,base[Exchange],"Fulltbet")</f>
        <v>0</v>
      </c>
      <c r="N274" s="2">
        <f>SUMIFS(base[L/P Líquido],base[Data],Extrato!$B274,base[Método],Extrato!N$3,base[Exchange],"Fulltbet")</f>
        <v>114.87434999999999</v>
      </c>
      <c r="O274" s="2">
        <f>SUMIFS(base[L/P Líquido],base[Data],Extrato!$B274,base[Método],Extrato!O$3,base[Exchange],"Fulltbet")</f>
        <v>0</v>
      </c>
      <c r="P274" s="2">
        <f>SUMIFS(base[L/P Líquido],base[Data],Extrato!$B274,base[Método],Extrato!P$3)</f>
        <v>0</v>
      </c>
      <c r="Q274" s="2">
        <f>SUMIFS(base[L/P Líquido],base[Data],Extrato!$B274,base[Método],Extrato!Q$3,base[Exchange],"Fulltbet")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27.32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Líquido],base[Data],Extrato!$B274,base[Método],Extrato!AA$3,base[Exchange],"Fulltbet")</f>
        <v>0</v>
      </c>
      <c r="AB274" s="2">
        <f>SUMIFS(base[L/P Líquido],base[Data],Extrato!$B274,base[Método],Extrato!AB$3)</f>
        <v>0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 t="shared" si="198"/>
        <v>4427.3726499999921</v>
      </c>
      <c r="AR274" s="2">
        <f t="shared" ref="AR274" si="259">BK273</f>
        <v>-24.338430490751261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60">SUM(AR274:BJ274)</f>
        <v>-24.338430490751261</v>
      </c>
      <c r="BM274" s="2">
        <f t="shared" ref="BM274" si="261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62">SUM(BM274:BW274)</f>
        <v>743.96</v>
      </c>
    </row>
    <row r="275" spans="2:76" ht="15" customHeight="1">
      <c r="B275" s="33">
        <v>46265</v>
      </c>
      <c r="C275" s="2">
        <f t="shared" ref="C275" si="263">AP274</f>
        <v>4427.3726499999921</v>
      </c>
      <c r="D275" s="2">
        <f>SUMIFS(base[L/P Líquido],base[Data],Extrato!$B275,base[Método],Extrato!D$3,base[Exchange],"Fulltbet")</f>
        <v>0</v>
      </c>
      <c r="E275" s="2">
        <f>SUMIFS(base[L/P Líquido],base[Data],Extrato!$B275,base[Método],Extrato!E$3,base[Exchange],"Fulltbet")</f>
        <v>31.78</v>
      </c>
      <c r="F275" s="2">
        <f>SUMIFS(base[L/P Líquido],base[Data],Extrato!$B275,base[Método],Extrato!F$3)</f>
        <v>-0.15000000000000036</v>
      </c>
      <c r="G275" s="2">
        <f>SUMIFS(base[L/P Líquido],base[Data],Extrato!$B275,base[Método],Extrato!G$3,base[Exchange],"Fulltbet")</f>
        <v>7.64</v>
      </c>
      <c r="H275" s="2">
        <f>SUMIFS(base[L/P Líquido],base[Data],Extrato!$B275,base[Método],Extrato!H$3)</f>
        <v>0</v>
      </c>
      <c r="I275" s="2">
        <f>SUMIF(BetFlow!B:B,B275,BetFlow!J:J)</f>
        <v>0</v>
      </c>
      <c r="J275" s="2">
        <f>SUMIFS(base[L/P Líquido],base[Data],Extrato!$B275,base[Método],Extrato!J$3,base[Exchange],"Fulltbet")</f>
        <v>0</v>
      </c>
      <c r="K275" s="2">
        <f>SUMIFS(base[L/P Líquido],base[Data],Extrato!$B275,base[Método],Extrato!K$3,base[Exchange],"Fulltbet")</f>
        <v>0</v>
      </c>
      <c r="L275" s="2">
        <f>SUMIFS(base[L/P Líquido],base[Data],Extrato!$B275,base[Método],Extrato!L$3,base[Exchange],"Fulltbet")</f>
        <v>0</v>
      </c>
      <c r="M275" s="2">
        <f>SUMIFS(base[L/P Líquido],base[Data],Extrato!$B275,base[Método],Extrato!M$3,base[Exchange],"Fulltbet")</f>
        <v>0</v>
      </c>
      <c r="N275" s="2">
        <f>SUMIFS(base[L/P Líquido],base[Data],Extrato!$B275,base[Método],Extrato!N$3,base[Exchange],"Fulltbet")</f>
        <v>-554.79999999999995</v>
      </c>
      <c r="O275" s="2">
        <f>SUMIFS(base[L/P Líquido],base[Data],Extrato!$B275,base[Método],Extrato!O$3,base[Exchange],"Fulltbet")</f>
        <v>0</v>
      </c>
      <c r="P275" s="2">
        <f>SUMIFS(base[L/P Líquido],base[Data],Extrato!$B275,base[Método],Extrato!P$3)</f>
        <v>0</v>
      </c>
      <c r="Q275" s="2">
        <f>SUMIFS(base[L/P Líquido],base[Data],Extrato!$B275,base[Método],Extrato!Q$3,base[Exchange],"Fulltbet")</f>
        <v>0</v>
      </c>
      <c r="R275" s="2">
        <f>SUMIFS(base[L/P Líquido],base[Data],Extrato!$B275,base[Método],Extrato!R$3,base[Exchange],"Fulltbet")</f>
        <v>0</v>
      </c>
      <c r="S275" s="2">
        <f>SUMIFS(base[L/P Líquido],base[Data],Extrato!$B275,base[Método],Extrato!S$3,base[Exchange],"Fulltbet")</f>
        <v>0</v>
      </c>
      <c r="T275" s="2">
        <f>SUMIFS(base[L/P Líquido],base[Data],Extrato!$B275,base[Método],Extrato!T$3,base[Exchange],"Fulltbet")</f>
        <v>0</v>
      </c>
      <c r="U275" s="2">
        <f>SUMIFS(base[L/P Líquido],base[Data],Extrato!$B275,base[Método],Extrato!U$3,base[Exchange],"Fulltbet")</f>
        <v>0</v>
      </c>
      <c r="V275" s="2">
        <f>SUMIFS(base[L/P Líquido],base[Data],Extrato!$B275,base[Método],Extrato!V$3,base[Exchange],"Fulltbet")</f>
        <v>0</v>
      </c>
      <c r="W275" s="2">
        <f>SUMIFS(base[L/P Líquido],base[Data],Extrato!$B275,base[Método],Extrato!W$3,base[Exchange],"Fulltbet")</f>
        <v>0</v>
      </c>
      <c r="X275" s="2">
        <f>SUMIFS(base[L/P Líquido],base[Data],Extrato!$B275,base[Método],Extrato!X$3,base[Exchange],"Fulltbet")</f>
        <v>0</v>
      </c>
      <c r="Y275" s="2">
        <f>SUMIFS(base[L/P Líquido],base[Data],Extrato!$B275,base[Método],Extrato!Y$3,base[Exchange],"Fulltbet")</f>
        <v>0</v>
      </c>
      <c r="Z275" s="2">
        <f>SUMIFS(base[L/P Líquido],base[Data],Extrato!$B275,base[Método],Extrato!Z$3,base[Exchange],"Fulltbet")</f>
        <v>0</v>
      </c>
      <c r="AA275" s="2">
        <f>SUMIFS(base[L/P Líquido],base[Data],Extrato!$B275,base[Método],Extrato!AA$3,base[Exchange],"Fulltbet")</f>
        <v>0</v>
      </c>
      <c r="AB275" s="2">
        <f>SUMIFS(base[L/P Líquido],base[Data],Extrato!$B275,base[Método],Extrato!AB$3)</f>
        <v>0</v>
      </c>
      <c r="AC275" s="2">
        <f>SUMIFS(base[L/P Líquido],base[Data],Extrato!$B275,base[Método],Extrato!AC$3)</f>
        <v>0</v>
      </c>
      <c r="AD275" s="2">
        <f>SUMIFS(base[L/P Líquido],base[Data],Extrato!$B275,base[Método],Extrato!AD$3)</f>
        <v>0</v>
      </c>
      <c r="AE275" s="2">
        <f>SUMIFS(base[L/P Líquido],base[Data],Extrato!$B275,base[Método],Extrato!AE$3)</f>
        <v>0</v>
      </c>
      <c r="AF275" s="2">
        <f>SUMIFS(base[L/P Líquido],base[Data],Extrato!$B275,base[Método],Extrato!AF$3)</f>
        <v>0</v>
      </c>
      <c r="AG275" s="2">
        <f>SUMIFS(base[L/P Líquido],base[Data],Extrato!$B275,base[Método],Extrato!AG$3)</f>
        <v>0</v>
      </c>
      <c r="AH275" s="2">
        <f>SUMIFS(base[L/P Líquido],base[Data],Extrato!$B275,base[Método],Extrato!AH$3)</f>
        <v>0</v>
      </c>
      <c r="AI275" s="2">
        <f>SUMIFS(base[L/P Líquido],base[Data],Extrato!$B275,base[Método],Extrato!AI$3)</f>
        <v>0</v>
      </c>
      <c r="AJ275" s="2">
        <f>SUMIFS(base[L/P Líquido],base[Data],Extrato!$B275,base[Método],Extrato!AJ$3)</f>
        <v>0</v>
      </c>
      <c r="AK275" s="2">
        <f>SUMIFS(base[L/P Líquido],base[Data],Extrato!$B275,base[Método],Extrato!AK$3)</f>
        <v>0</v>
      </c>
      <c r="AL275" s="2">
        <f>SUMIFS(base[L/P Líquido],base[Data],Extrato!$B275,base[Método],Extrato!AL$3)</f>
        <v>0</v>
      </c>
      <c r="AM275" s="2">
        <f>SUMIFS(base[L/P Líquido],base[Data],Extrato!$B275,base[Método],Extrato!AM$3)</f>
        <v>0</v>
      </c>
      <c r="AN275" s="2">
        <v>0</v>
      </c>
      <c r="AO275" s="2">
        <v>0</v>
      </c>
      <c r="AP275" s="435">
        <f t="shared" si="198"/>
        <v>3911.8426499999923</v>
      </c>
      <c r="AR275" s="2">
        <f t="shared" ref="AR275" si="264">BK274</f>
        <v>-24.338430490751261</v>
      </c>
      <c r="AS275" s="2">
        <f>SUMIFS(base[L/P Líquido],base[Data],Extrato!$B275,base[Método],Extrato!AS$3,base[Exchange],"Betbra")</f>
        <v>0</v>
      </c>
      <c r="AT275" s="2">
        <f>SUMIFS(base[L/P Líquido],base[Data],Extrato!$B275,base[Método],Extrato!AT$3,base[Exchange],"Betbra")</f>
        <v>0</v>
      </c>
      <c r="AU275" s="2">
        <f>SUMIFS(base[L/P Líquido],base[Data],Extrato!$B275,base[Método],Extrato!AU$3,base[Exchange],"Betbra")</f>
        <v>0</v>
      </c>
      <c r="AV275" s="2">
        <f>SUMIFS(base[L/P Líquido],base[Data],Extrato!$B275,base[Método],Extrato!AV$3,base[Exchange],"Betbra")</f>
        <v>0</v>
      </c>
      <c r="AW275" s="2">
        <f>SUMIFS(base[L/P Líquido],base[Data],Extrato!$B275,base[Método],Extrato!AW$3,base[Exchange],"Betbra")</f>
        <v>0</v>
      </c>
      <c r="AX275" s="2">
        <f>SUMIFS(base[L/P Líquido],base[Data],Extrato!$B275,base[Método],Extrato!AX$3,base[Exchange],"Betbra")</f>
        <v>0</v>
      </c>
      <c r="AY275" s="2">
        <f>SUMIFS(base[L/P Líquido],base[Data],Extrato!$B275,base[Método],Extrato!AY$3,base[Exchange],"Betbra")</f>
        <v>0</v>
      </c>
      <c r="AZ275" s="2">
        <f>SUMIF(BetFlow!B:B,Extrato!B275,BetFlow!M:M)</f>
        <v>0</v>
      </c>
      <c r="BA275" s="2">
        <f>SUMIFS(base[L/P Líquido],base[Data],Extrato!$B275,base[Método],Extrato!BA$3,base[Exchange],"Betbra")</f>
        <v>0</v>
      </c>
      <c r="BB275" s="2">
        <f>SUMIFS(base[L/P Líquido],base[Data],Extrato!$B275,base[Método],Extrato!BB$3,base[Exchange],"Betbra")</f>
        <v>0</v>
      </c>
      <c r="BC275" s="2">
        <f>SUMIFS(base[L/P Líquido],base[Data],Extrato!$B275,base[Método],Extrato!BC$3,base[Exchange],"Betbra")</f>
        <v>0</v>
      </c>
      <c r="BD275" s="2">
        <f>SUMIFS(base[L/P Líquido],base[Data],Extrato!$B275,base[Método],Extrato!BD$3,base[Exchange],"Betbra")</f>
        <v>0</v>
      </c>
      <c r="BE275" s="2">
        <f>SUMIFS(base[L/P Líquido],base[Data],Extrato!$B275,base[Método],Extrato!BE$3,base[Exchange],"Betbra")</f>
        <v>0</v>
      </c>
      <c r="BF275" s="2">
        <f>SUMIFS(base[L/P Líquido],base[Data],Extrato!$B275,base[Método],Extrato!BF$3,base[Exchange],"Betbra")</f>
        <v>0</v>
      </c>
      <c r="BG275" s="2">
        <f>SUMIFS(base[L/P Líquido],base[Data],Extrato!$B275,base[Método],Extrato!BG$3,base[Exchange],"Betbra")</f>
        <v>0</v>
      </c>
      <c r="BH275" s="2">
        <f>SUMIFS(base[L/P Líquido],base[Data],Extrato!$B275,base[Método],Extrato!BH$3,base[Exchange],"Betbra")</f>
        <v>0</v>
      </c>
      <c r="BI275" s="2">
        <v>0</v>
      </c>
      <c r="BJ275" s="2">
        <v>0</v>
      </c>
      <c r="BK275" s="435">
        <f t="shared" ref="BK275" si="265">SUM(AR275:BJ275)</f>
        <v>-24.338430490751261</v>
      </c>
      <c r="BM275" s="2">
        <f t="shared" ref="BM275" si="266">BX274</f>
        <v>743.96</v>
      </c>
      <c r="BN275" s="2">
        <f>SUMIFS(base[L/P Líquido],base[Data],Extrato!$B275,base[Método],Extrato!BN$3,base[Exchange],"Bolsa")</f>
        <v>0</v>
      </c>
      <c r="BO275" s="2">
        <f>SUMIFS(base[L/P Líquido],base[Data],Extrato!$B275,base[Método],Extrato!BO$3,base[Exchange],"Bolsa")</f>
        <v>0</v>
      </c>
      <c r="BP275" s="2">
        <f>SUMIFS(base[L/P Líquido],base[Data],Extrato!$B275,base[Método],Extrato!BP$3,base[Exchange],"Bolsa")</f>
        <v>0</v>
      </c>
      <c r="BQ275" s="2">
        <f>SUMIFS(base[L/P Líquido],base[Data],Extrato!$B275,base[Método],Extrato!BQ$3,base[Exchange],"Bolsa")</f>
        <v>0</v>
      </c>
      <c r="BR275" s="2">
        <f>SUMIFS(base[L/P Líquido],base[Data],Extrato!$B275,base[Método],Extrato!BR$3,base[Exchange],"Bolsa")</f>
        <v>0</v>
      </c>
      <c r="BS275" s="2">
        <f>SUMIFS(base[L/P Líquido],base[Data],Extrato!$B275,base[Método],Extrato!BS$3,base[Exchange],"Bolsa")</f>
        <v>0</v>
      </c>
      <c r="BT275" s="2">
        <f>SUMIFS(base[L/P Líquido],base[Data],Extrato!$B275,base[Método],Extrato!BT$3,base[Exchange],"Bolsa")</f>
        <v>0</v>
      </c>
      <c r="BU275" s="2">
        <f>SUMIFS(base[L/P Líquido],base[Data],Extrato!$B275,base[Método],Extrato!BU$3,base[Exchange],"Bolsa")</f>
        <v>0</v>
      </c>
      <c r="BV275" s="2">
        <v>-743.95</v>
      </c>
      <c r="BW275" s="2">
        <v>-0.01</v>
      </c>
      <c r="BX275" s="435">
        <f t="shared" ref="BX275" si="267">SUM(BM275:BW275)</f>
        <v>-9.0951551845463996E-15</v>
      </c>
    </row>
    <row r="276" spans="2:76" ht="15" customHeight="1">
      <c r="B276" s="33">
        <v>46266</v>
      </c>
      <c r="C276" s="2">
        <f t="shared" ref="C276" si="268">AP275</f>
        <v>3911.8426499999923</v>
      </c>
      <c r="D276" s="2">
        <f>SUMIFS(base[L/P Líquido],base[Data],Extrato!$B276,base[Método],Extrato!D$3,base[Exchange],"Fulltbet")</f>
        <v>0</v>
      </c>
      <c r="E276" s="2">
        <f>SUMIFS(base[L/P Líquido],base[Data],Extrato!$B276,base[Método],Extrato!E$3,base[Exchange],"Fulltbet")</f>
        <v>0</v>
      </c>
      <c r="F276" s="2">
        <f>SUMIFS(base[L/P Líquido],base[Data],Extrato!$B276,base[Método],Extrato!F$3)</f>
        <v>-22.48</v>
      </c>
      <c r="G276" s="2">
        <f>SUMIFS(base[L/P Líquido],base[Data],Extrato!$B276,base[Método],Extrato!G$3,base[Exchange],"Fulltbet")</f>
        <v>0</v>
      </c>
      <c r="H276" s="2">
        <f>SUMIFS(base[L/P Líquido],base[Data],Extrato!$B276,base[Método],Extrato!H$3)</f>
        <v>76.81</v>
      </c>
      <c r="I276" s="2">
        <f>SUMIF(BetFlow!B:B,B276,BetFlow!J:J)</f>
        <v>0</v>
      </c>
      <c r="J276" s="2">
        <f>SUMIFS(base[L/P Líquido],base[Data],Extrato!$B276,base[Método],Extrato!J$3,base[Exchange],"Fulltbet")</f>
        <v>0</v>
      </c>
      <c r="K276" s="2">
        <f>SUMIFS(base[L/P Líquido],base[Data],Extrato!$B276,base[Método],Extrato!K$3,base[Exchange],"Fulltbet")</f>
        <v>0</v>
      </c>
      <c r="L276" s="2">
        <f>SUMIFS(base[L/P Líquido],base[Data],Extrato!$B276,base[Método],Extrato!L$3,base[Exchange],"Fulltbet")</f>
        <v>0</v>
      </c>
      <c r="M276" s="2">
        <f>SUMIFS(base[L/P Líquido],base[Data],Extrato!$B276,base[Método],Extrato!M$3,base[Exchange],"Fulltbet")</f>
        <v>0</v>
      </c>
      <c r="N276" s="2">
        <f>SUMIFS(base[L/P Líquido],base[Data],Extrato!$B276,base[Método],Extrato!N$3,base[Exchange],"Fulltbet")</f>
        <v>0</v>
      </c>
      <c r="O276" s="2">
        <f>SUMIFS(base[L/P Líquido],base[Data],Extrato!$B276,base[Método],Extrato!O$3,base[Exchange],"Fulltbet")</f>
        <v>0</v>
      </c>
      <c r="P276" s="2">
        <f>SUMIFS(base[L/P Líquido],base[Data],Extrato!$B276,base[Método],Extrato!P$3)</f>
        <v>0</v>
      </c>
      <c r="Q276" s="2">
        <f>SUMIFS(base[L/P Líquido],base[Data],Extrato!$B276,base[Método],Extrato!Q$3,base[Exchange],"Fulltbet")</f>
        <v>0</v>
      </c>
      <c r="R276" s="2">
        <f>SUMIFS(base[L/P Líquido],base[Data],Extrato!$B276,base[Método],Extrato!R$3,base[Exchange],"Fulltbet")</f>
        <v>0</v>
      </c>
      <c r="S276" s="2">
        <f>SUMIFS(base[L/P Líquido],base[Data],Extrato!$B276,base[Método],Extrato!S$3,base[Exchange],"Fulltbet")</f>
        <v>0</v>
      </c>
      <c r="T276" s="2">
        <f>SUMIFS(base[L/P Líquido],base[Data],Extrato!$B276,base[Método],Extrato!T$3,base[Exchange],"Fulltbet")</f>
        <v>0</v>
      </c>
      <c r="U276" s="2">
        <f>SUMIFS(base[L/P Líquido],base[Data],Extrato!$B276,base[Método],Extrato!U$3,base[Exchange],"Fulltbet")</f>
        <v>0</v>
      </c>
      <c r="V276" s="2">
        <f>SUMIFS(base[L/P Líquido],base[Data],Extrato!$B276,base[Método],Extrato!V$3,base[Exchange],"Fulltbet")</f>
        <v>0</v>
      </c>
      <c r="W276" s="2">
        <f>SUMIFS(base[L/P Líquido],base[Data],Extrato!$B276,base[Método],Extrato!W$3,base[Exchange],"Fulltbet")</f>
        <v>0</v>
      </c>
      <c r="X276" s="2">
        <f>SUMIFS(base[L/P Líquido],base[Data],Extrato!$B276,base[Método],Extrato!X$3,base[Exchange],"Fulltbet")</f>
        <v>0</v>
      </c>
      <c r="Y276" s="2">
        <f>SUMIFS(base[L/P Líquido],base[Data],Extrato!$B276,base[Método],Extrato!Y$3,base[Exchange],"Fulltbet")</f>
        <v>0</v>
      </c>
      <c r="Z276" s="2">
        <f>SUMIFS(base[L/P Líquido],base[Data],Extrato!$B276,base[Método],Extrato!Z$3,base[Exchange],"Fulltbet")</f>
        <v>0</v>
      </c>
      <c r="AA276" s="2">
        <f>SUMIFS(base[L/P Líquido],base[Data],Extrato!$B276,base[Método],Extrato!AA$3,base[Exchange],"Fulltbet")</f>
        <v>0</v>
      </c>
      <c r="AB276" s="2">
        <f>SUMIFS(base[L/P Líquido],base[Data],Extrato!$B276,base[Método],Extrato!AB$3)</f>
        <v>0</v>
      </c>
      <c r="AC276" s="2">
        <f>SUMIFS(base[L/P Líquido],base[Data],Extrato!$B276,base[Método],Extrato!AC$3)</f>
        <v>0</v>
      </c>
      <c r="AD276" s="2">
        <f>SUMIFS(base[L/P Líquido],base[Data],Extrato!$B276,base[Método],Extrato!AD$3)</f>
        <v>0</v>
      </c>
      <c r="AE276" s="2">
        <f>SUMIFS(base[L/P Líquido],base[Data],Extrato!$B276,base[Método],Extrato!AE$3)</f>
        <v>0</v>
      </c>
      <c r="AF276" s="2">
        <f>SUMIFS(base[L/P Líquido],base[Data],Extrato!$B276,base[Método],Extrato!AF$3)</f>
        <v>0</v>
      </c>
      <c r="AG276" s="2">
        <f>SUMIFS(base[L/P Líquido],base[Data],Extrato!$B276,base[Método],Extrato!AG$3)</f>
        <v>0</v>
      </c>
      <c r="AH276" s="2">
        <f>SUMIFS(base[L/P Líquido],base[Data],Extrato!$B276,base[Método],Extrato!AH$3)</f>
        <v>0</v>
      </c>
      <c r="AI276" s="2">
        <f>SUMIFS(base[L/P Líquido],base[Data],Extrato!$B276,base[Método],Extrato!AI$3)</f>
        <v>0</v>
      </c>
      <c r="AJ276" s="2">
        <f>SUMIFS(base[L/P Líquido],base[Data],Extrato!$B276,base[Método],Extrato!AJ$3)</f>
        <v>0</v>
      </c>
      <c r="AK276" s="2">
        <f>SUMIFS(base[L/P Líquido],base[Data],Extrato!$B276,base[Método],Extrato!AK$3)</f>
        <v>0</v>
      </c>
      <c r="AL276" s="2">
        <f>SUMIFS(base[L/P Líquido],base[Data],Extrato!$B276,base[Método],Extrato!AL$3)</f>
        <v>0</v>
      </c>
      <c r="AM276" s="2">
        <f>SUMIFS(base[L/P Líquido],base[Data],Extrato!$B276,base[Método],Extrato!AM$3)</f>
        <v>0</v>
      </c>
      <c r="AN276" s="2">
        <v>743.95</v>
      </c>
      <c r="AO276" s="2">
        <v>0</v>
      </c>
      <c r="AP276" s="435">
        <f t="shared" si="198"/>
        <v>4710.1226499999921</v>
      </c>
      <c r="AR276" s="2">
        <f t="shared" ref="AR276" si="269">BK275</f>
        <v>-24.338430490751261</v>
      </c>
      <c r="AS276" s="2">
        <f>SUMIFS(base[L/P Líquido],base[Data],Extrato!$B276,base[Método],Extrato!AS$3,base[Exchange],"Betbra")</f>
        <v>0</v>
      </c>
      <c r="AT276" s="2">
        <f>SUMIFS(base[L/P Líquido],base[Data],Extrato!$B276,base[Método],Extrato!AT$3,base[Exchange],"Betbra")</f>
        <v>0</v>
      </c>
      <c r="AU276" s="2">
        <f>SUMIFS(base[L/P Líquido],base[Data],Extrato!$B276,base[Método],Extrato!AU$3,base[Exchange],"Betbra")</f>
        <v>0</v>
      </c>
      <c r="AV276" s="2">
        <f>SUMIFS(base[L/P Líquido],base[Data],Extrato!$B276,base[Método],Extrato!AV$3,base[Exchange],"Betbra")</f>
        <v>0</v>
      </c>
      <c r="AW276" s="2">
        <f>SUMIFS(base[L/P Líquido],base[Data],Extrato!$B276,base[Método],Extrato!AW$3,base[Exchange],"Betbra")</f>
        <v>0</v>
      </c>
      <c r="AX276" s="2">
        <f>SUMIFS(base[L/P Líquido],base[Data],Extrato!$B276,base[Método],Extrato!AX$3,base[Exchange],"Betbra")</f>
        <v>0</v>
      </c>
      <c r="AY276" s="2">
        <f>SUMIFS(base[L/P Líquido],base[Data],Extrato!$B276,base[Método],Extrato!AY$3,base[Exchange],"Betbra")</f>
        <v>0</v>
      </c>
      <c r="AZ276" s="2">
        <f>SUMIF(BetFlow!B:B,Extrato!B276,BetFlow!M:M)</f>
        <v>0</v>
      </c>
      <c r="BA276" s="2">
        <f>SUMIFS(base[L/P Líquido],base[Data],Extrato!$B276,base[Método],Extrato!BA$3,base[Exchange],"Betbra")</f>
        <v>0</v>
      </c>
      <c r="BB276" s="2">
        <f>SUMIFS(base[L/P Líquido],base[Data],Extrato!$B276,base[Método],Extrato!BB$3,base[Exchange],"Betbra")</f>
        <v>0</v>
      </c>
      <c r="BC276" s="2">
        <f>SUMIFS(base[L/P Líquido],base[Data],Extrato!$B276,base[Método],Extrato!BC$3,base[Exchange],"Betbra")</f>
        <v>0</v>
      </c>
      <c r="BD276" s="2">
        <f>SUMIFS(base[L/P Líquido],base[Data],Extrato!$B276,base[Método],Extrato!BD$3,base[Exchange],"Betbra")</f>
        <v>0</v>
      </c>
      <c r="BE276" s="2">
        <f>SUMIFS(base[L/P Líquido],base[Data],Extrato!$B276,base[Método],Extrato!BE$3,base[Exchange],"Betbra")</f>
        <v>0</v>
      </c>
      <c r="BF276" s="2">
        <f>SUMIFS(base[L/P Líquido],base[Data],Extrato!$B276,base[Método],Extrato!BF$3,base[Exchange],"Betbra")</f>
        <v>0</v>
      </c>
      <c r="BG276" s="2">
        <f>SUMIFS(base[L/P Líquido],base[Data],Extrato!$B276,base[Método],Extrato!BG$3,base[Exchange],"Betbra")</f>
        <v>0</v>
      </c>
      <c r="BH276" s="2">
        <f>SUMIFS(base[L/P Líquido],base[Data],Extrato!$B276,base[Método],Extrato!BH$3,base[Exchange],"Betbra")</f>
        <v>0</v>
      </c>
      <c r="BI276" s="2">
        <v>0</v>
      </c>
      <c r="BJ276" s="2">
        <v>0</v>
      </c>
      <c r="BK276" s="435">
        <f t="shared" ref="BK276" si="270">SUM(AR276:BJ276)</f>
        <v>-24.338430490751261</v>
      </c>
      <c r="BM276" s="2">
        <f t="shared" ref="BM276" si="271">BX275</f>
        <v>-9.0951551845463996E-15</v>
      </c>
      <c r="BN276" s="2">
        <f>SUMIFS(base[L/P Líquido],base[Data],Extrato!$B276,base[Método],Extrato!BN$3,base[Exchange],"Bolsa")</f>
        <v>0</v>
      </c>
      <c r="BO276" s="2">
        <f>SUMIFS(base[L/P Líquido],base[Data],Extrato!$B276,base[Método],Extrato!BO$3,base[Exchange],"Bolsa")</f>
        <v>0</v>
      </c>
      <c r="BP276" s="2">
        <f>SUMIFS(base[L/P Líquido],base[Data],Extrato!$B276,base[Método],Extrato!BP$3,base[Exchange],"Bolsa")</f>
        <v>0</v>
      </c>
      <c r="BQ276" s="2">
        <f>SUMIFS(base[L/P Líquido],base[Data],Extrato!$B276,base[Método],Extrato!BQ$3,base[Exchange],"Bolsa")</f>
        <v>0</v>
      </c>
      <c r="BR276" s="2">
        <f>SUMIFS(base[L/P Líquido],base[Data],Extrato!$B276,base[Método],Extrato!BR$3,base[Exchange],"Bolsa")</f>
        <v>0</v>
      </c>
      <c r="BS276" s="2">
        <f>SUMIFS(base[L/P Líquido],base[Data],Extrato!$B276,base[Método],Extrato!BS$3,base[Exchange],"Bolsa")</f>
        <v>0</v>
      </c>
      <c r="BT276" s="2">
        <f>SUMIFS(base[L/P Líquido],base[Data],Extrato!$B276,base[Método],Extrato!BT$3,base[Exchange],"Bolsa")</f>
        <v>0</v>
      </c>
      <c r="BU276" s="2">
        <f>SUMIFS(base[L/P Líquido],base[Data],Extrato!$B276,base[Método],Extrato!BU$3,base[Exchange],"Bolsa")</f>
        <v>0</v>
      </c>
      <c r="BV276" s="2">
        <v>0</v>
      </c>
      <c r="BW276" s="2">
        <v>0</v>
      </c>
      <c r="BX276" s="435">
        <f t="shared" ref="BX276" si="272">SUM(BM276:BW276)</f>
        <v>-9.0951551845463996E-15</v>
      </c>
    </row>
    <row r="277" spans="2:76" ht="15" customHeight="1">
      <c r="B277" s="33">
        <v>46267</v>
      </c>
      <c r="C277" s="2">
        <f t="shared" ref="C277" si="273">AP276</f>
        <v>4710.1226499999921</v>
      </c>
      <c r="D277" s="2">
        <f>SUMIFS(base[L/P Líquido],base[Data],Extrato!$B277,base[Método],Extrato!D$3,base[Exchange],"Fulltbet")</f>
        <v>0</v>
      </c>
      <c r="E277" s="2">
        <f>SUMIFS(base[L/P Líquido],base[Data],Extrato!$B277,base[Método],Extrato!E$3,base[Exchange],"Fulltbet")</f>
        <v>63.62</v>
      </c>
      <c r="F277" s="2">
        <f>SUMIFS(base[L/P Líquido],base[Data],Extrato!$B277,base[Método],Extrato!F$3)</f>
        <v>42.46</v>
      </c>
      <c r="G277" s="2">
        <f>SUMIFS(base[L/P Líquido],base[Data],Extrato!$B277,base[Método],Extrato!G$3,base[Exchange],"Fulltbet")</f>
        <v>45.099999999999994</v>
      </c>
      <c r="H277" s="2">
        <f>SUMIFS(base[L/P Líquido],base[Data],Extrato!$B277,base[Método],Extrato!H$3)</f>
        <v>0</v>
      </c>
      <c r="I277" s="2">
        <f>SUMIF(BetFlow!B:B,B277,BetFlow!J:J)</f>
        <v>0</v>
      </c>
      <c r="J277" s="2">
        <f>SUMIFS(base[L/P Líquido],base[Data],Extrato!$B277,base[Método],Extrato!J$3,base[Exchange],"Fulltbet")</f>
        <v>0</v>
      </c>
      <c r="K277" s="2">
        <f>SUMIFS(base[L/P Líquido],base[Data],Extrato!$B277,base[Método],Extrato!K$3,base[Exchange],"Fulltbet")</f>
        <v>0</v>
      </c>
      <c r="L277" s="2">
        <f>SUMIFS(base[L/P Líquido],base[Data],Extrato!$B277,base[Método],Extrato!L$3,base[Exchange],"Fulltbet")</f>
        <v>0</v>
      </c>
      <c r="M277" s="2">
        <f>SUMIFS(base[L/P Líquido],base[Data],Extrato!$B277,base[Método],Extrato!M$3,base[Exchange],"Fulltbet")</f>
        <v>0</v>
      </c>
      <c r="N277" s="2">
        <f>SUMIFS(base[L/P Líquido],base[Data],Extrato!$B277,base[Método],Extrato!N$3,base[Exchange],"Fulltbet")</f>
        <v>0</v>
      </c>
      <c r="O277" s="2">
        <f>SUMIFS(base[L/P Líquido],base[Data],Extrato!$B277,base[Método],Extrato!O$3,base[Exchange],"Fulltbet")</f>
        <v>0</v>
      </c>
      <c r="P277" s="2">
        <f>SUMIFS(base[L/P Líquido],base[Data],Extrato!$B277,base[Método],Extrato!P$3)</f>
        <v>0</v>
      </c>
      <c r="Q277" s="2">
        <f>SUMIFS(base[L/P Líquido],base[Data],Extrato!$B277,base[Método],Extrato!Q$3,base[Exchange],"Fulltbet")</f>
        <v>0</v>
      </c>
      <c r="R277" s="2">
        <f>SUMIFS(base[L/P Líquido],base[Data],Extrato!$B277,base[Método],Extrato!R$3,base[Exchange],"Fulltbet")</f>
        <v>0</v>
      </c>
      <c r="S277" s="2">
        <f>SUMIFS(base[L/P Líquido],base[Data],Extrato!$B277,base[Método],Extrato!S$3,base[Exchange],"Fulltbet")</f>
        <v>0</v>
      </c>
      <c r="T277" s="2">
        <f>SUMIFS(base[L/P Líquido],base[Data],Extrato!$B277,base[Método],Extrato!T$3,base[Exchange],"Fulltbet")</f>
        <v>0</v>
      </c>
      <c r="U277" s="2">
        <f>SUMIFS(base[L/P Líquido],base[Data],Extrato!$B277,base[Método],Extrato!U$3,base[Exchange],"Fulltbet")</f>
        <v>0</v>
      </c>
      <c r="V277" s="2">
        <f>SUMIFS(base[L/P Líquido],base[Data],Extrato!$B277,base[Método],Extrato!V$3,base[Exchange],"Fulltbet")</f>
        <v>0</v>
      </c>
      <c r="W277" s="2">
        <f>SUMIFS(base[L/P Líquido],base[Data],Extrato!$B277,base[Método],Extrato!W$3,base[Exchange],"Fulltbet")</f>
        <v>0</v>
      </c>
      <c r="X277" s="2">
        <f>SUMIFS(base[L/P Líquido],base[Data],Extrato!$B277,base[Método],Extrato!X$3,base[Exchange],"Fulltbet")</f>
        <v>0</v>
      </c>
      <c r="Y277" s="2">
        <f>SUMIFS(base[L/P Líquido],base[Data],Extrato!$B277,base[Método],Extrato!Y$3,base[Exchange],"Fulltbet")</f>
        <v>0</v>
      </c>
      <c r="Z277" s="2">
        <f>SUMIFS(base[L/P Líquido],base[Data],Extrato!$B277,base[Método],Extrato!Z$3,base[Exchange],"Fulltbet")</f>
        <v>0</v>
      </c>
      <c r="AA277" s="2">
        <f>SUMIFS(base[L/P Líquido],base[Data],Extrato!$B277,base[Método],Extrato!AA$3,base[Exchange],"Fulltbet")</f>
        <v>0</v>
      </c>
      <c r="AB277" s="2">
        <f>SUMIFS(base[L/P Líquido],base[Data],Extrato!$B277,base[Método],Extrato!AB$3)</f>
        <v>0</v>
      </c>
      <c r="AC277" s="2">
        <f>SUMIFS(base[L/P Líquido],base[Data],Extrato!$B277,base[Método],Extrato!AC$3)</f>
        <v>0</v>
      </c>
      <c r="AD277" s="2">
        <f>SUMIFS(base[L/P Líquido],base[Data],Extrato!$B277,base[Método],Extrato!AD$3)</f>
        <v>0</v>
      </c>
      <c r="AE277" s="2">
        <f>SUMIFS(base[L/P Líquido],base[Data],Extrato!$B277,base[Método],Extrato!AE$3)</f>
        <v>0</v>
      </c>
      <c r="AF277" s="2">
        <f>SUMIFS(base[L/P Líquido],base[Data],Extrato!$B277,base[Método],Extrato!AF$3)</f>
        <v>0</v>
      </c>
      <c r="AG277" s="2">
        <f>SUMIFS(base[L/P Líquido],base[Data],Extrato!$B277,base[Método],Extrato!AG$3)</f>
        <v>0</v>
      </c>
      <c r="AH277" s="2">
        <f>SUMIFS(base[L/P Líquido],base[Data],Extrato!$B277,base[Método],Extrato!AH$3)</f>
        <v>0</v>
      </c>
      <c r="AI277" s="2">
        <f>SUMIFS(base[L/P Líquido],base[Data],Extrato!$B277,base[Método],Extrato!AI$3)</f>
        <v>0</v>
      </c>
      <c r="AJ277" s="2">
        <f>SUMIFS(base[L/P Líquido],base[Data],Extrato!$B277,base[Método],Extrato!AJ$3)</f>
        <v>0</v>
      </c>
      <c r="AK277" s="2">
        <f>SUMIFS(base[L/P Líquido],base[Data],Extrato!$B277,base[Método],Extrato!AK$3)</f>
        <v>0</v>
      </c>
      <c r="AL277" s="2">
        <f>SUMIFS(base[L/P Líquido],base[Data],Extrato!$B277,base[Método],Extrato!AL$3)</f>
        <v>0</v>
      </c>
      <c r="AM277" s="2">
        <f>SUMIFS(base[L/P Líquido],base[Data],Extrato!$B277,base[Método],Extrato!AM$3)</f>
        <v>0</v>
      </c>
      <c r="AN277" s="2">
        <v>0</v>
      </c>
      <c r="AO277" s="2">
        <v>0</v>
      </c>
      <c r="AP277" s="435">
        <f t="shared" si="198"/>
        <v>4861.3026499999924</v>
      </c>
      <c r="AR277" s="2">
        <f t="shared" ref="AR277" si="274">BK276</f>
        <v>-24.338430490751261</v>
      </c>
      <c r="AS277" s="2">
        <f>SUMIFS(base[L/P Líquido],base[Data],Extrato!$B277,base[Método],Extrato!AS$3,base[Exchange],"Betbra")</f>
        <v>0</v>
      </c>
      <c r="AT277" s="2">
        <f>SUMIFS(base[L/P Líquido],base[Data],Extrato!$B277,base[Método],Extrato!AT$3,base[Exchange],"Betbra")</f>
        <v>0</v>
      </c>
      <c r="AU277" s="2">
        <f>SUMIFS(base[L/P Líquido],base[Data],Extrato!$B277,base[Método],Extrato!AU$3,base[Exchange],"Betbra")</f>
        <v>0</v>
      </c>
      <c r="AV277" s="2">
        <f>SUMIFS(base[L/P Líquido],base[Data],Extrato!$B277,base[Método],Extrato!AV$3,base[Exchange],"Betbra")</f>
        <v>0</v>
      </c>
      <c r="AW277" s="2">
        <f>SUMIFS(base[L/P Líquido],base[Data],Extrato!$B277,base[Método],Extrato!AW$3,base[Exchange],"Betbra")</f>
        <v>0</v>
      </c>
      <c r="AX277" s="2">
        <f>SUMIFS(base[L/P Líquido],base[Data],Extrato!$B277,base[Método],Extrato!AX$3,base[Exchange],"Betbra")</f>
        <v>0</v>
      </c>
      <c r="AY277" s="2">
        <f>SUMIFS(base[L/P Líquido],base[Data],Extrato!$B277,base[Método],Extrato!AY$3,base[Exchange],"Betbra")</f>
        <v>0</v>
      </c>
      <c r="AZ277" s="2">
        <f>SUMIF(BetFlow!B:B,Extrato!B277,BetFlow!M:M)</f>
        <v>0</v>
      </c>
      <c r="BA277" s="2">
        <f>SUMIFS(base[L/P Líquido],base[Data],Extrato!$B277,base[Método],Extrato!BA$3,base[Exchange],"Betbra")</f>
        <v>0</v>
      </c>
      <c r="BB277" s="2">
        <f>SUMIFS(base[L/P Líquido],base[Data],Extrato!$B277,base[Método],Extrato!BB$3,base[Exchange],"Betbra")</f>
        <v>0</v>
      </c>
      <c r="BC277" s="2">
        <f>SUMIFS(base[L/P Líquido],base[Data],Extrato!$B277,base[Método],Extrato!BC$3,base[Exchange],"Betbra")</f>
        <v>0</v>
      </c>
      <c r="BD277" s="2">
        <f>SUMIFS(base[L/P Líquido],base[Data],Extrato!$B277,base[Método],Extrato!BD$3,base[Exchange],"Betbra")</f>
        <v>0</v>
      </c>
      <c r="BE277" s="2">
        <f>SUMIFS(base[L/P Líquido],base[Data],Extrato!$B277,base[Método],Extrato!BE$3,base[Exchange],"Betbra")</f>
        <v>0</v>
      </c>
      <c r="BF277" s="2">
        <f>SUMIFS(base[L/P Líquido],base[Data],Extrato!$B277,base[Método],Extrato!BF$3,base[Exchange],"Betbra")</f>
        <v>0</v>
      </c>
      <c r="BG277" s="2">
        <f>SUMIFS(base[L/P Líquido],base[Data],Extrato!$B277,base[Método],Extrato!BG$3,base[Exchange],"Betbra")</f>
        <v>0</v>
      </c>
      <c r="BH277" s="2">
        <f>SUMIFS(base[L/P Líquido],base[Data],Extrato!$B277,base[Método],Extrato!BH$3,base[Exchange],"Betbra")</f>
        <v>0</v>
      </c>
      <c r="BI277" s="2">
        <v>0</v>
      </c>
      <c r="BJ277" s="2">
        <v>0</v>
      </c>
      <c r="BK277" s="435">
        <f t="shared" ref="BK277" si="275">SUM(AR277:BJ277)</f>
        <v>-24.338430490751261</v>
      </c>
      <c r="BM277" s="2">
        <f t="shared" ref="BM277" si="276">BX276</f>
        <v>-9.0951551845463996E-15</v>
      </c>
      <c r="BN277" s="2">
        <f>SUMIFS(base[L/P Líquido],base[Data],Extrato!$B277,base[Método],Extrato!BN$3,base[Exchange],"Bolsa")</f>
        <v>0</v>
      </c>
      <c r="BO277" s="2">
        <f>SUMIFS(base[L/P Líquido],base[Data],Extrato!$B277,base[Método],Extrato!BO$3,base[Exchange],"Bolsa")</f>
        <v>0</v>
      </c>
      <c r="BP277" s="2">
        <f>SUMIFS(base[L/P Líquido],base[Data],Extrato!$B277,base[Método],Extrato!BP$3,base[Exchange],"Bolsa")</f>
        <v>0</v>
      </c>
      <c r="BQ277" s="2">
        <f>SUMIFS(base[L/P Líquido],base[Data],Extrato!$B277,base[Método],Extrato!BQ$3,base[Exchange],"Bolsa")</f>
        <v>0</v>
      </c>
      <c r="BR277" s="2">
        <f>SUMIFS(base[L/P Líquido],base[Data],Extrato!$B277,base[Método],Extrato!BR$3,base[Exchange],"Bolsa")</f>
        <v>0</v>
      </c>
      <c r="BS277" s="2">
        <f>SUMIFS(base[L/P Líquido],base[Data],Extrato!$B277,base[Método],Extrato!BS$3,base[Exchange],"Bolsa")</f>
        <v>0</v>
      </c>
      <c r="BT277" s="2">
        <f>SUMIFS(base[L/P Líquido],base[Data],Extrato!$B277,base[Método],Extrato!BT$3,base[Exchange],"Bolsa")</f>
        <v>0</v>
      </c>
      <c r="BU277" s="2">
        <f>SUMIFS(base[L/P Líquido],base[Data],Extrato!$B277,base[Método],Extrato!BU$3,base[Exchange],"Bolsa")</f>
        <v>0</v>
      </c>
      <c r="BV277" s="2">
        <v>0</v>
      </c>
      <c r="BW277" s="2">
        <v>0</v>
      </c>
      <c r="BX277" s="435">
        <f t="shared" ref="BX277" si="277">SUM(BM277:BW277)</f>
        <v>-9.0951551845463996E-15</v>
      </c>
    </row>
    <row r="278" spans="2:76" ht="15" customHeight="1">
      <c r="B278" s="33">
        <v>46268</v>
      </c>
      <c r="C278" s="2">
        <f t="shared" ref="C278" si="278">AP277</f>
        <v>4861.3026499999924</v>
      </c>
      <c r="D278" s="2">
        <f>SUMIFS(base[L/P Líquido],base[Data],Extrato!$B278,base[Método],Extrato!D$3,base[Exchange],"Fulltbet")</f>
        <v>0</v>
      </c>
      <c r="E278" s="2">
        <f>SUMIFS(base[L/P Líquido],base[Data],Extrato!$B278,base[Método],Extrato!E$3,base[Exchange],"Fulltbet")</f>
        <v>0</v>
      </c>
      <c r="F278" s="2">
        <f>SUMIFS(base[L/P Líquido],base[Data],Extrato!$B278,base[Método],Extrato!F$3)</f>
        <v>10.61</v>
      </c>
      <c r="G278" s="2">
        <f>SUMIFS(base[L/P Líquido],base[Data],Extrato!$B278,base[Método],Extrato!G$3,base[Exchange],"Fulltbet")</f>
        <v>89.33</v>
      </c>
      <c r="H278" s="2">
        <f>SUMIFS(base[L/P Líquido],base[Data],Extrato!$B278,base[Método],Extrato!H$3)</f>
        <v>75.64</v>
      </c>
      <c r="I278" s="2">
        <f>SUMIF(BetFlow!B:B,B278,BetFlow!J:J)</f>
        <v>0</v>
      </c>
      <c r="J278" s="2">
        <f>SUMIFS(base[L/P Líquido],base[Data],Extrato!$B278,base[Método],Extrato!J$3,base[Exchange],"Fulltbet")</f>
        <v>0</v>
      </c>
      <c r="K278" s="2">
        <f>SUMIFS(base[L/P Líquido],base[Data],Extrato!$B278,base[Método],Extrato!K$3,base[Exchange],"Fulltbet")</f>
        <v>0</v>
      </c>
      <c r="L278" s="2">
        <f>SUMIFS(base[L/P Líquido],base[Data],Extrato!$B278,base[Método],Extrato!L$3,base[Exchange],"Fulltbet")</f>
        <v>0</v>
      </c>
      <c r="M278" s="2">
        <f>SUMIFS(base[L/P Líquido],base[Data],Extrato!$B278,base[Método],Extrato!M$3,base[Exchange],"Fulltbet")</f>
        <v>0</v>
      </c>
      <c r="N278" s="2">
        <f>SUMIFS(base[L/P Líquido],base[Data],Extrato!$B278,base[Método],Extrato!N$3,base[Exchange],"Fulltbet")</f>
        <v>0</v>
      </c>
      <c r="O278" s="2">
        <f>SUMIFS(base[L/P Líquido],base[Data],Extrato!$B278,base[Método],Extrato!O$3,base[Exchange],"Fulltbet")</f>
        <v>0</v>
      </c>
      <c r="P278" s="2">
        <f>SUMIFS(base[L/P Líquido],base[Data],Extrato!$B278,base[Método],Extrato!P$3)</f>
        <v>0</v>
      </c>
      <c r="Q278" s="2">
        <f>SUMIFS(base[L/P Líquido],base[Data],Extrato!$B278,base[Método],Extrato!Q$3,base[Exchange],"Fulltbet")</f>
        <v>0</v>
      </c>
      <c r="R278" s="2">
        <f>SUMIFS(base[L/P Líquido],base[Data],Extrato!$B278,base[Método],Extrato!R$3,base[Exchange],"Fulltbet")</f>
        <v>0</v>
      </c>
      <c r="S278" s="2">
        <f>SUMIFS(base[L/P Líquido],base[Data],Extrato!$B278,base[Método],Extrato!S$3,base[Exchange],"Fulltbet")</f>
        <v>0</v>
      </c>
      <c r="T278" s="2">
        <f>SUMIFS(base[L/P Líquido],base[Data],Extrato!$B278,base[Método],Extrato!T$3,base[Exchange],"Fulltbet")</f>
        <v>0</v>
      </c>
      <c r="U278" s="2">
        <f>SUMIFS(base[L/P Líquido],base[Data],Extrato!$B278,base[Método],Extrato!U$3,base[Exchange],"Fulltbet")</f>
        <v>0</v>
      </c>
      <c r="V278" s="2">
        <f>SUMIFS(base[L/P Líquido],base[Data],Extrato!$B278,base[Método],Extrato!V$3,base[Exchange],"Fulltbet")</f>
        <v>0</v>
      </c>
      <c r="W278" s="2">
        <f>SUMIFS(base[L/P Líquido],base[Data],Extrato!$B278,base[Método],Extrato!W$3,base[Exchange],"Fulltbet")</f>
        <v>0</v>
      </c>
      <c r="X278" s="2">
        <f>SUMIFS(base[L/P Líquido],base[Data],Extrato!$B278,base[Método],Extrato!X$3,base[Exchange],"Fulltbet")</f>
        <v>0</v>
      </c>
      <c r="Y278" s="2">
        <f>SUMIFS(base[L/P Líquido],base[Data],Extrato!$B278,base[Método],Extrato!Y$3,base[Exchange],"Fulltbet")</f>
        <v>0</v>
      </c>
      <c r="Z278" s="2">
        <f>SUMIFS(base[L/P Líquido],base[Data],Extrato!$B278,base[Método],Extrato!Z$3,base[Exchange],"Fulltbet")</f>
        <v>0</v>
      </c>
      <c r="AA278" s="2">
        <f>SUMIFS(base[L/P Líquido],base[Data],Extrato!$B278,base[Método],Extrato!AA$3,base[Exchange],"Fulltbet")</f>
        <v>0</v>
      </c>
      <c r="AB278" s="2">
        <f>SUMIFS(base[L/P Líquido],base[Data],Extrato!$B278,base[Método],Extrato!AB$3)</f>
        <v>0</v>
      </c>
      <c r="AC278" s="2">
        <f>SUMIFS(base[L/P Líquido],base[Data],Extrato!$B278,base[Método],Extrato!AC$3)</f>
        <v>0</v>
      </c>
      <c r="AD278" s="2">
        <f>SUMIFS(base[L/P Líquido],base[Data],Extrato!$B278,base[Método],Extrato!AD$3)</f>
        <v>0</v>
      </c>
      <c r="AE278" s="2">
        <f>SUMIFS(base[L/P Líquido],base[Data],Extrato!$B278,base[Método],Extrato!AE$3)</f>
        <v>0</v>
      </c>
      <c r="AF278" s="2">
        <f>SUMIFS(base[L/P Líquido],base[Data],Extrato!$B278,base[Método],Extrato!AF$3)</f>
        <v>0</v>
      </c>
      <c r="AG278" s="2">
        <f>SUMIFS(base[L/P Líquido],base[Data],Extrato!$B278,base[Método],Extrato!AG$3)</f>
        <v>0</v>
      </c>
      <c r="AH278" s="2">
        <f>SUMIFS(base[L/P Líquido],base[Data],Extrato!$B278,base[Método],Extrato!AH$3)</f>
        <v>0</v>
      </c>
      <c r="AI278" s="2">
        <f>SUMIFS(base[L/P Líquido],base[Data],Extrato!$B278,base[Método],Extrato!AI$3)</f>
        <v>0</v>
      </c>
      <c r="AJ278" s="2">
        <f>SUMIFS(base[L/P Líquido],base[Data],Extrato!$B278,base[Método],Extrato!AJ$3)</f>
        <v>0</v>
      </c>
      <c r="AK278" s="2">
        <f>SUMIFS(base[L/P Líquido],base[Data],Extrato!$B278,base[Método],Extrato!AK$3)</f>
        <v>0</v>
      </c>
      <c r="AL278" s="2">
        <f>SUMIFS(base[L/P Líquido],base[Data],Extrato!$B278,base[Método],Extrato!AL$3)</f>
        <v>0</v>
      </c>
      <c r="AM278" s="2">
        <f>SUMIFS(base[L/P Líquido],base[Data],Extrato!$B278,base[Método],Extrato!AM$3)</f>
        <v>0</v>
      </c>
      <c r="AN278" s="2">
        <v>0</v>
      </c>
      <c r="AO278" s="2">
        <v>-0.01</v>
      </c>
      <c r="AP278" s="435">
        <f t="shared" si="198"/>
        <v>5036.8726499999921</v>
      </c>
      <c r="AR278" s="2">
        <f t="shared" ref="AR278" si="279">BK277</f>
        <v>-24.338430490751261</v>
      </c>
      <c r="AS278" s="2">
        <f>SUMIFS(base[L/P Líquido],base[Data],Extrato!$B278,base[Método],Extrato!AS$3,base[Exchange],"Betbra")</f>
        <v>0</v>
      </c>
      <c r="AT278" s="2">
        <f>SUMIFS(base[L/P Líquido],base[Data],Extrato!$B278,base[Método],Extrato!AT$3,base[Exchange],"Betbra")</f>
        <v>0</v>
      </c>
      <c r="AU278" s="2">
        <f>SUMIFS(base[L/P Líquido],base[Data],Extrato!$B278,base[Método],Extrato!AU$3,base[Exchange],"Betbra")</f>
        <v>0</v>
      </c>
      <c r="AV278" s="2">
        <f>SUMIFS(base[L/P Líquido],base[Data],Extrato!$B278,base[Método],Extrato!AV$3,base[Exchange],"Betbra")</f>
        <v>0</v>
      </c>
      <c r="AW278" s="2">
        <f>SUMIFS(base[L/P Líquido],base[Data],Extrato!$B278,base[Método],Extrato!AW$3,base[Exchange],"Betbra")</f>
        <v>0</v>
      </c>
      <c r="AX278" s="2">
        <f>SUMIFS(base[L/P Líquido],base[Data],Extrato!$B278,base[Método],Extrato!AX$3,base[Exchange],"Betbra")</f>
        <v>0</v>
      </c>
      <c r="AY278" s="2">
        <f>SUMIFS(base[L/P Líquido],base[Data],Extrato!$B278,base[Método],Extrato!AY$3,base[Exchange],"Betbra")</f>
        <v>0</v>
      </c>
      <c r="AZ278" s="2">
        <f>SUMIF(BetFlow!B:B,Extrato!B278,BetFlow!M:M)</f>
        <v>0</v>
      </c>
      <c r="BA278" s="2">
        <f>SUMIFS(base[L/P Líquido],base[Data],Extrato!$B278,base[Método],Extrato!BA$3,base[Exchange],"Betbra")</f>
        <v>0</v>
      </c>
      <c r="BB278" s="2">
        <f>SUMIFS(base[L/P Líquido],base[Data],Extrato!$B278,base[Método],Extrato!BB$3,base[Exchange],"Betbra")</f>
        <v>0</v>
      </c>
      <c r="BC278" s="2">
        <f>SUMIFS(base[L/P Líquido],base[Data],Extrato!$B278,base[Método],Extrato!BC$3,base[Exchange],"Betbra")</f>
        <v>0</v>
      </c>
      <c r="BD278" s="2">
        <f>SUMIFS(base[L/P Líquido],base[Data],Extrato!$B278,base[Método],Extrato!BD$3,base[Exchange],"Betbra")</f>
        <v>0</v>
      </c>
      <c r="BE278" s="2">
        <f>SUMIFS(base[L/P Líquido],base[Data],Extrato!$B278,base[Método],Extrato!BE$3,base[Exchange],"Betbra")</f>
        <v>0</v>
      </c>
      <c r="BF278" s="2">
        <f>SUMIFS(base[L/P Líquido],base[Data],Extrato!$B278,base[Método],Extrato!BF$3,base[Exchange],"Betbra")</f>
        <v>0</v>
      </c>
      <c r="BG278" s="2">
        <f>SUMIFS(base[L/P Líquido],base[Data],Extrato!$B278,base[Método],Extrato!BG$3,base[Exchange],"Betbra")</f>
        <v>0</v>
      </c>
      <c r="BH278" s="2">
        <f>SUMIFS(base[L/P Líquido],base[Data],Extrato!$B278,base[Método],Extrato!BH$3,base[Exchange],"Betbra")</f>
        <v>0</v>
      </c>
      <c r="BI278" s="2">
        <v>0</v>
      </c>
      <c r="BJ278" s="2">
        <v>0</v>
      </c>
      <c r="BK278" s="435">
        <f t="shared" ref="BK278" si="280">SUM(AR278:BJ278)</f>
        <v>-24.338430490751261</v>
      </c>
      <c r="BM278" s="2">
        <f t="shared" ref="BM278" si="281">BX277</f>
        <v>-9.0951551845463996E-15</v>
      </c>
      <c r="BN278" s="2">
        <f>SUMIFS(base[L/P Líquido],base[Data],Extrato!$B278,base[Método],Extrato!BN$3,base[Exchange],"Bolsa")</f>
        <v>0</v>
      </c>
      <c r="BO278" s="2">
        <f>SUMIFS(base[L/P Líquido],base[Data],Extrato!$B278,base[Método],Extrato!BO$3,base[Exchange],"Bolsa")</f>
        <v>0</v>
      </c>
      <c r="BP278" s="2">
        <f>SUMIFS(base[L/P Líquido],base[Data],Extrato!$B278,base[Método],Extrato!BP$3,base[Exchange],"Bolsa")</f>
        <v>0</v>
      </c>
      <c r="BQ278" s="2">
        <f>SUMIFS(base[L/P Líquido],base[Data],Extrato!$B278,base[Método],Extrato!BQ$3,base[Exchange],"Bolsa")</f>
        <v>0</v>
      </c>
      <c r="BR278" s="2">
        <f>SUMIFS(base[L/P Líquido],base[Data],Extrato!$B278,base[Método],Extrato!BR$3,base[Exchange],"Bolsa")</f>
        <v>0</v>
      </c>
      <c r="BS278" s="2">
        <f>SUMIFS(base[L/P Líquido],base[Data],Extrato!$B278,base[Método],Extrato!BS$3,base[Exchange],"Bolsa")</f>
        <v>0</v>
      </c>
      <c r="BT278" s="2">
        <f>SUMIFS(base[L/P Líquido],base[Data],Extrato!$B278,base[Método],Extrato!BT$3,base[Exchange],"Bolsa")</f>
        <v>0</v>
      </c>
      <c r="BU278" s="2">
        <f>SUMIFS(base[L/P Líquido],base[Data],Extrato!$B278,base[Método],Extrato!BU$3,base[Exchange],"Bolsa")</f>
        <v>0</v>
      </c>
      <c r="BV278" s="2">
        <v>0</v>
      </c>
      <c r="BW278" s="2">
        <v>0</v>
      </c>
      <c r="BX278" s="435">
        <f t="shared" ref="BX278" si="282">SUM(BM278:BW278)</f>
        <v>-9.0951551845463996E-15</v>
      </c>
    </row>
    <row r="279" spans="2:76" ht="15" customHeight="1">
      <c r="B279" s="33">
        <v>46269</v>
      </c>
      <c r="C279" s="2">
        <f t="shared" ref="C279" si="283">AP278</f>
        <v>5036.8726499999921</v>
      </c>
      <c r="D279" s="2">
        <f>SUMIFS(base[L/P Líquido],base[Data],Extrato!$B279,base[Método],Extrato!D$3,base[Exchange],"Fulltbet")</f>
        <v>0</v>
      </c>
      <c r="E279" s="2">
        <f>SUMIFS(base[L/P Líquido],base[Data],Extrato!$B279,base[Método],Extrato!E$3,base[Exchange],"Fulltbet")</f>
        <v>172.44</v>
      </c>
      <c r="F279" s="2">
        <f>SUMIFS(base[L/P Líquido],base[Data],Extrato!$B279,base[Método],Extrato!F$3)</f>
        <v>-5.2600000000000033</v>
      </c>
      <c r="G279" s="2">
        <f>SUMIFS(base[L/P Líquido],base[Data],Extrato!$B279,base[Método],Extrato!G$3,base[Exchange],"Fulltbet")</f>
        <v>-358.81</v>
      </c>
      <c r="H279" s="2">
        <f>SUMIFS(base[L/P Líquido],base[Data],Extrato!$B279,base[Método],Extrato!H$3)</f>
        <v>75.64</v>
      </c>
      <c r="I279" s="2">
        <f>SUMIF(BetFlow!B:B,B279,BetFlow!J:J)</f>
        <v>0</v>
      </c>
      <c r="J279" s="2">
        <f>SUMIFS(base[L/P Líquido],base[Data],Extrato!$B279,base[Método],Extrato!J$3,base[Exchange],"Fulltbet")</f>
        <v>0</v>
      </c>
      <c r="K279" s="2">
        <f>SUMIFS(base[L/P Líquido],base[Data],Extrato!$B279,base[Método],Extrato!K$3,base[Exchange],"Fulltbet")</f>
        <v>0</v>
      </c>
      <c r="L279" s="2">
        <f>SUMIFS(base[L/P Líquido],base[Data],Extrato!$B279,base[Método],Extrato!L$3,base[Exchange],"Fulltbet")</f>
        <v>0</v>
      </c>
      <c r="M279" s="2">
        <f>SUMIFS(base[L/P Líquido],base[Data],Extrato!$B279,base[Método],Extrato!M$3,base[Exchange],"Fulltbet")</f>
        <v>0</v>
      </c>
      <c r="N279" s="2">
        <f>SUMIFS(base[L/P Líquido],base[Data],Extrato!$B279,base[Método],Extrato!N$3,base[Exchange],"Fulltbet")</f>
        <v>0</v>
      </c>
      <c r="O279" s="2">
        <f>SUMIFS(base[L/P Líquido],base[Data],Extrato!$B279,base[Método],Extrato!O$3,base[Exchange],"Fulltbet")</f>
        <v>0</v>
      </c>
      <c r="P279" s="2">
        <f>SUMIFS(base[L/P Líquido],base[Data],Extrato!$B279,base[Método],Extrato!P$3)</f>
        <v>0</v>
      </c>
      <c r="Q279" s="2">
        <f>SUMIFS(base[L/P Líquido],base[Data],Extrato!$B279,base[Método],Extrato!Q$3,base[Exchange],"Fulltbet")</f>
        <v>0</v>
      </c>
      <c r="R279" s="2">
        <f>SUMIFS(base[L/P Líquido],base[Data],Extrato!$B279,base[Método],Extrato!R$3,base[Exchange],"Fulltbet")</f>
        <v>0</v>
      </c>
      <c r="S279" s="2">
        <f>SUMIFS(base[L/P Líquido],base[Data],Extrato!$B279,base[Método],Extrato!S$3,base[Exchange],"Fulltbet")</f>
        <v>0</v>
      </c>
      <c r="T279" s="2">
        <f>SUMIFS(base[L/P Líquido],base[Data],Extrato!$B279,base[Método],Extrato!T$3,base[Exchange],"Fulltbet")</f>
        <v>0</v>
      </c>
      <c r="U279" s="2">
        <f>SUMIFS(base[L/P Líquido],base[Data],Extrato!$B279,base[Método],Extrato!U$3,base[Exchange],"Fulltbet")</f>
        <v>0</v>
      </c>
      <c r="V279" s="2">
        <f>SUMIFS(base[L/P Líquido],base[Data],Extrato!$B279,base[Método],Extrato!V$3,base[Exchange],"Fulltbet")</f>
        <v>36.83</v>
      </c>
      <c r="W279" s="2">
        <f>SUMIFS(base[L/P Líquido],base[Data],Extrato!$B279,base[Método],Extrato!W$3,base[Exchange],"Fulltbet")</f>
        <v>0</v>
      </c>
      <c r="X279" s="2">
        <f>SUMIFS(base[L/P Líquido],base[Data],Extrato!$B279,base[Método],Extrato!X$3,base[Exchange],"Fulltbet")</f>
        <v>0</v>
      </c>
      <c r="Y279" s="2">
        <f>SUMIFS(base[L/P Líquido],base[Data],Extrato!$B279,base[Método],Extrato!Y$3,base[Exchange],"Fulltbet")</f>
        <v>0</v>
      </c>
      <c r="Z279" s="2">
        <f>SUMIFS(base[L/P Líquido],base[Data],Extrato!$B279,base[Método],Extrato!Z$3,base[Exchange],"Fulltbet")</f>
        <v>0</v>
      </c>
      <c r="AA279" s="2">
        <f>SUMIFS(base[L/P Líquido],base[Data],Extrato!$B279,base[Método],Extrato!AA$3,base[Exchange],"Fulltbet")</f>
        <v>0</v>
      </c>
      <c r="AB279" s="2">
        <f>SUMIFS(base[L/P Líquido],base[Data],Extrato!$B279,base[Método],Extrato!AB$3)</f>
        <v>0</v>
      </c>
      <c r="AC279" s="2">
        <f>SUMIFS(base[L/P Líquido],base[Data],Extrato!$B279,base[Método],Extrato!AC$3)</f>
        <v>0</v>
      </c>
      <c r="AD279" s="2">
        <f>SUMIFS(base[L/P Líquido],base[Data],Extrato!$B279,base[Método],Extrato!AD$3)</f>
        <v>0</v>
      </c>
      <c r="AE279" s="2">
        <f>SUMIFS(base[L/P Líquido],base[Data],Extrato!$B279,base[Método],Extrato!AE$3)</f>
        <v>0</v>
      </c>
      <c r="AF279" s="2">
        <f>SUMIFS(base[L/P Líquido],base[Data],Extrato!$B279,base[Método],Extrato!AF$3)</f>
        <v>0</v>
      </c>
      <c r="AG279" s="2">
        <f>SUMIFS(base[L/P Líquido],base[Data],Extrato!$B279,base[Método],Extrato!AG$3)</f>
        <v>0</v>
      </c>
      <c r="AH279" s="2">
        <f>SUMIFS(base[L/P Líquido],base[Data],Extrato!$B279,base[Método],Extrato!AH$3)</f>
        <v>0</v>
      </c>
      <c r="AI279" s="2">
        <f>SUMIFS(base[L/P Líquido],base[Data],Extrato!$B279,base[Método],Extrato!AI$3)</f>
        <v>0</v>
      </c>
      <c r="AJ279" s="2">
        <f>SUMIFS(base[L/P Líquido],base[Data],Extrato!$B279,base[Método],Extrato!AJ$3)</f>
        <v>0</v>
      </c>
      <c r="AK279" s="2">
        <f>SUMIFS(base[L/P Líquido],base[Data],Extrato!$B279,base[Método],Extrato!AK$3)</f>
        <v>0</v>
      </c>
      <c r="AL279" s="2">
        <f>SUMIFS(base[L/P Líquido],base[Data],Extrato!$B279,base[Método],Extrato!AL$3)</f>
        <v>0</v>
      </c>
      <c r="AM279" s="2">
        <f>SUMIFS(base[L/P Líquido],base[Data],Extrato!$B279,base[Método],Extrato!AM$3)</f>
        <v>0</v>
      </c>
      <c r="AN279" s="2">
        <v>0</v>
      </c>
      <c r="AO279" s="2">
        <v>0.01</v>
      </c>
      <c r="AP279" s="435">
        <f t="shared" si="198"/>
        <v>4957.7226499999915</v>
      </c>
      <c r="AR279" s="2">
        <f t="shared" ref="AR279" si="284">BK278</f>
        <v>-24.338430490751261</v>
      </c>
      <c r="AS279" s="2">
        <f>SUMIFS(base[L/P Líquido],base[Data],Extrato!$B279,base[Método],Extrato!AS$3,base[Exchange],"Betbra")</f>
        <v>0</v>
      </c>
      <c r="AT279" s="2">
        <f>SUMIFS(base[L/P Líquido],base[Data],Extrato!$B279,base[Método],Extrato!AT$3,base[Exchange],"Betbra")</f>
        <v>0</v>
      </c>
      <c r="AU279" s="2">
        <f>SUMIFS(base[L/P Líquido],base[Data],Extrato!$B279,base[Método],Extrato!AU$3,base[Exchange],"Betbra")</f>
        <v>0</v>
      </c>
      <c r="AV279" s="2">
        <f>SUMIFS(base[L/P Líquido],base[Data],Extrato!$B279,base[Método],Extrato!AV$3,base[Exchange],"Betbra")</f>
        <v>0</v>
      </c>
      <c r="AW279" s="2">
        <f>SUMIFS(base[L/P Líquido],base[Data],Extrato!$B279,base[Método],Extrato!AW$3,base[Exchange],"Betbra")</f>
        <v>0</v>
      </c>
      <c r="AX279" s="2">
        <f>SUMIFS(base[L/P Líquido],base[Data],Extrato!$B279,base[Método],Extrato!AX$3,base[Exchange],"Betbra")</f>
        <v>0</v>
      </c>
      <c r="AY279" s="2">
        <f>SUMIFS(base[L/P Líquido],base[Data],Extrato!$B279,base[Método],Extrato!AY$3,base[Exchange],"Betbra")</f>
        <v>0</v>
      </c>
      <c r="AZ279" s="2">
        <f>SUMIF(BetFlow!B:B,Extrato!B279,BetFlow!M:M)</f>
        <v>0</v>
      </c>
      <c r="BA279" s="2">
        <f>SUMIFS(base[L/P Líquido],base[Data],Extrato!$B279,base[Método],Extrato!BA$3,base[Exchange],"Betbra")</f>
        <v>0</v>
      </c>
      <c r="BB279" s="2">
        <f>SUMIFS(base[L/P Líquido],base[Data],Extrato!$B279,base[Método],Extrato!BB$3,base[Exchange],"Betbra")</f>
        <v>0</v>
      </c>
      <c r="BC279" s="2">
        <f>SUMIFS(base[L/P Líquido],base[Data],Extrato!$B279,base[Método],Extrato!BC$3,base[Exchange],"Betbra")</f>
        <v>0</v>
      </c>
      <c r="BD279" s="2">
        <f>SUMIFS(base[L/P Líquido],base[Data],Extrato!$B279,base[Método],Extrato!BD$3,base[Exchange],"Betbra")</f>
        <v>0</v>
      </c>
      <c r="BE279" s="2">
        <f>SUMIFS(base[L/P Líquido],base[Data],Extrato!$B279,base[Método],Extrato!BE$3,base[Exchange],"Betbra")</f>
        <v>0</v>
      </c>
      <c r="BF279" s="2">
        <f>SUMIFS(base[L/P Líquido],base[Data],Extrato!$B279,base[Método],Extrato!BF$3,base[Exchange],"Betbra")</f>
        <v>0</v>
      </c>
      <c r="BG279" s="2">
        <f>SUMIFS(base[L/P Líquido],base[Data],Extrato!$B279,base[Método],Extrato!BG$3,base[Exchange],"Betbra")</f>
        <v>0</v>
      </c>
      <c r="BH279" s="2">
        <f>SUMIFS(base[L/P Líquido],base[Data],Extrato!$B279,base[Método],Extrato!BH$3,base[Exchange],"Betbra")</f>
        <v>0</v>
      </c>
      <c r="BI279" s="2">
        <v>0</v>
      </c>
      <c r="BJ279" s="2">
        <v>0</v>
      </c>
      <c r="BK279" s="435">
        <f t="shared" ref="BK279" si="285">SUM(AR279:BJ279)</f>
        <v>-24.338430490751261</v>
      </c>
      <c r="BM279" s="2">
        <f t="shared" ref="BM279" si="286">BX278</f>
        <v>-9.0951551845463996E-15</v>
      </c>
      <c r="BN279" s="2">
        <f>SUMIFS(base[L/P Líquido],base[Data],Extrato!$B279,base[Método],Extrato!BN$3,base[Exchange],"Bolsa")</f>
        <v>0</v>
      </c>
      <c r="BO279" s="2">
        <f>SUMIFS(base[L/P Líquido],base[Data],Extrato!$B279,base[Método],Extrato!BO$3,base[Exchange],"Bolsa")</f>
        <v>0</v>
      </c>
      <c r="BP279" s="2">
        <f>SUMIFS(base[L/P Líquido],base[Data],Extrato!$B279,base[Método],Extrato!BP$3,base[Exchange],"Bolsa")</f>
        <v>0</v>
      </c>
      <c r="BQ279" s="2">
        <f>SUMIFS(base[L/P Líquido],base[Data],Extrato!$B279,base[Método],Extrato!BQ$3,base[Exchange],"Bolsa")</f>
        <v>0</v>
      </c>
      <c r="BR279" s="2">
        <f>SUMIFS(base[L/P Líquido],base[Data],Extrato!$B279,base[Método],Extrato!BR$3,base[Exchange],"Bolsa")</f>
        <v>0</v>
      </c>
      <c r="BS279" s="2">
        <f>SUMIFS(base[L/P Líquido],base[Data],Extrato!$B279,base[Método],Extrato!BS$3,base[Exchange],"Bolsa")</f>
        <v>0</v>
      </c>
      <c r="BT279" s="2">
        <f>SUMIFS(base[L/P Líquido],base[Data],Extrato!$B279,base[Método],Extrato!BT$3,base[Exchange],"Bolsa")</f>
        <v>0</v>
      </c>
      <c r="BU279" s="2">
        <f>SUMIFS(base[L/P Líquido],base[Data],Extrato!$B279,base[Método],Extrato!BU$3,base[Exchange],"Bolsa")</f>
        <v>0</v>
      </c>
      <c r="BV279" s="2">
        <v>0</v>
      </c>
      <c r="BW279" s="2">
        <v>0</v>
      </c>
      <c r="BX279" s="435">
        <f t="shared" ref="BX279" si="287">SUM(BM279:BW279)</f>
        <v>-9.0951551845463996E-15</v>
      </c>
    </row>
    <row r="280" spans="2:76" ht="15" customHeight="1">
      <c r="B280" s="33">
        <v>46270</v>
      </c>
      <c r="C280" s="2">
        <f t="shared" ref="C280" si="288">AP279</f>
        <v>4957.7226499999915</v>
      </c>
      <c r="D280" s="2">
        <f>SUMIFS(base[L/P Líquido],base[Data],Extrato!$B280,base[Método],Extrato!D$3,base[Exchange],"Fulltbet")</f>
        <v>0</v>
      </c>
      <c r="E280" s="2">
        <f>SUMIFS(base[L/P Líquido],base[Data],Extrato!$B280,base[Método],Extrato!E$3,base[Exchange],"Fulltbet")</f>
        <v>66.94</v>
      </c>
      <c r="F280" s="2">
        <f>SUMIFS(base[L/P Líquido],base[Data],Extrato!$B280,base[Método],Extrato!F$3)</f>
        <v>11.32</v>
      </c>
      <c r="G280" s="2">
        <f>SUMIFS(base[L/P Líquido],base[Data],Extrato!$B280,base[Método],Extrato!G$3,base[Exchange],"Fulltbet")</f>
        <v>-209.29000000000005</v>
      </c>
      <c r="H280" s="2">
        <f>SUMIFS(base[L/P Líquido],base[Data],Extrato!$B280,base[Método],Extrato!H$3)</f>
        <v>-480</v>
      </c>
      <c r="I280" s="2">
        <f>SUMIF(BetFlow!B:B,B280,BetFlow!J:J)</f>
        <v>0</v>
      </c>
      <c r="J280" s="2">
        <f>SUMIFS(base[L/P Líquido],base[Data],Extrato!$B280,base[Método],Extrato!J$3,base[Exchange],"Fulltbet")</f>
        <v>0</v>
      </c>
      <c r="K280" s="2">
        <f>SUMIFS(base[L/P Líquido],base[Data],Extrato!$B280,base[Método],Extrato!K$3,base[Exchange],"Fulltbet")</f>
        <v>0</v>
      </c>
      <c r="L280" s="2">
        <f>SUMIFS(base[L/P Líquido],base[Data],Extrato!$B280,base[Método],Extrato!L$3,base[Exchange],"Fulltbet")</f>
        <v>0</v>
      </c>
      <c r="M280" s="2">
        <f>SUMIFS(base[L/P Líquido],base[Data],Extrato!$B280,base[Método],Extrato!M$3,base[Exchange],"Fulltbet")</f>
        <v>0</v>
      </c>
      <c r="N280" s="2">
        <f>SUMIFS(base[L/P Líquido],base[Data],Extrato!$B280,base[Método],Extrato!N$3,base[Exchange],"Fulltbet")</f>
        <v>0</v>
      </c>
      <c r="O280" s="2">
        <f>SUMIFS(base[L/P Líquido],base[Data],Extrato!$B280,base[Método],Extrato!O$3,base[Exchange],"Fulltbet")</f>
        <v>0</v>
      </c>
      <c r="P280" s="2">
        <f>SUMIFS(base[L/P Líquido],base[Data],Extrato!$B280,base[Método],Extrato!P$3)</f>
        <v>0</v>
      </c>
      <c r="Q280" s="2">
        <f>SUMIFS(base[L/P Líquido],base[Data],Extrato!$B280,base[Método],Extrato!Q$3,base[Exchange],"Fulltbet")</f>
        <v>0</v>
      </c>
      <c r="R280" s="2">
        <f>SUMIFS(base[L/P Líquido],base[Data],Extrato!$B280,base[Método],Extrato!R$3,base[Exchange],"Fulltbet")</f>
        <v>0</v>
      </c>
      <c r="S280" s="2">
        <f>SUMIFS(base[L/P Líquido],base[Data],Extrato!$B280,base[Método],Extrato!S$3,base[Exchange],"Fulltbet")</f>
        <v>0</v>
      </c>
      <c r="T280" s="2">
        <f>SUMIFS(base[L/P Líquido],base[Data],Extrato!$B280,base[Método],Extrato!T$3,base[Exchange],"Fulltbet")</f>
        <v>0</v>
      </c>
      <c r="U280" s="2">
        <f>SUMIFS(base[L/P Líquido],base[Data],Extrato!$B280,base[Método],Extrato!U$3,base[Exchange],"Fulltbet")</f>
        <v>0</v>
      </c>
      <c r="V280" s="2">
        <f>SUMIFS(base[L/P Líquido],base[Data],Extrato!$B280,base[Método],Extrato!V$3,base[Exchange],"Fulltbet")</f>
        <v>-561.97</v>
      </c>
      <c r="W280" s="2">
        <f>SUMIFS(base[L/P Líquido],base[Data],Extrato!$B280,base[Método],Extrato!W$3,base[Exchange],"Fulltbet")</f>
        <v>0</v>
      </c>
      <c r="X280" s="2">
        <f>SUMIFS(base[L/P Líquido],base[Data],Extrato!$B280,base[Método],Extrato!X$3,base[Exchange],"Fulltbet")</f>
        <v>0</v>
      </c>
      <c r="Y280" s="2">
        <f>SUMIFS(base[L/P Líquido],base[Data],Extrato!$B280,base[Método],Extrato!Y$3,base[Exchange],"Fulltbet")</f>
        <v>0</v>
      </c>
      <c r="Z280" s="2">
        <f>SUMIFS(base[L/P Líquido],base[Data],Extrato!$B280,base[Método],Extrato!Z$3,base[Exchange],"Fulltbet")</f>
        <v>0</v>
      </c>
      <c r="AA280" s="2">
        <f>SUMIFS(base[L/P Líquido],base[Data],Extrato!$B280,base[Método],Extrato!AA$3,base[Exchange],"Fulltbet")</f>
        <v>0</v>
      </c>
      <c r="AB280" s="2">
        <f>SUMIFS(base[L/P Líquido],base[Data],Extrato!$B280,base[Método],Extrato!AB$3)</f>
        <v>0</v>
      </c>
      <c r="AC280" s="2">
        <f>SUMIFS(base[L/P Líquido],base[Data],Extrato!$B280,base[Método],Extrato!AC$3)</f>
        <v>0</v>
      </c>
      <c r="AD280" s="2">
        <f>SUMIFS(base[L/P Líquido],base[Data],Extrato!$B280,base[Método],Extrato!AD$3)</f>
        <v>0</v>
      </c>
      <c r="AE280" s="2">
        <f>SUMIFS(base[L/P Líquido],base[Data],Extrato!$B280,base[Método],Extrato!AE$3)</f>
        <v>0</v>
      </c>
      <c r="AF280" s="2">
        <f>SUMIFS(base[L/P Líquido],base[Data],Extrato!$B280,base[Método],Extrato!AF$3)</f>
        <v>0</v>
      </c>
      <c r="AG280" s="2">
        <f>SUMIFS(base[L/P Líquido],base[Data],Extrato!$B280,base[Método],Extrato!AG$3)</f>
        <v>0</v>
      </c>
      <c r="AH280" s="2">
        <f>SUMIFS(base[L/P Líquido],base[Data],Extrato!$B280,base[Método],Extrato!AH$3)</f>
        <v>0</v>
      </c>
      <c r="AI280" s="2">
        <f>SUMIFS(base[L/P Líquido],base[Data],Extrato!$B280,base[Método],Extrato!AI$3)</f>
        <v>0</v>
      </c>
      <c r="AJ280" s="2">
        <f>SUMIFS(base[L/P Líquido],base[Data],Extrato!$B280,base[Método],Extrato!AJ$3)</f>
        <v>0</v>
      </c>
      <c r="AK280" s="2">
        <f>SUMIFS(base[L/P Líquido],base[Data],Extrato!$B280,base[Método],Extrato!AK$3)</f>
        <v>0</v>
      </c>
      <c r="AL280" s="2">
        <f>SUMIFS(base[L/P Líquido],base[Data],Extrato!$B280,base[Método],Extrato!AL$3)</f>
        <v>0</v>
      </c>
      <c r="AM280" s="2">
        <f>SUMIFS(base[L/P Líquido],base[Data],Extrato!$B280,base[Método],Extrato!AM$3)</f>
        <v>0</v>
      </c>
      <c r="AN280" s="2">
        <v>0</v>
      </c>
      <c r="AO280" s="2">
        <v>0.01</v>
      </c>
      <c r="AP280" s="435">
        <f t="shared" si="198"/>
        <v>3784.7326499999908</v>
      </c>
      <c r="AR280" s="2">
        <f t="shared" ref="AR280" si="289">BK279</f>
        <v>-24.338430490751261</v>
      </c>
      <c r="AS280" s="2">
        <f>SUMIFS(base[L/P Líquido],base[Data],Extrato!$B280,base[Método],Extrato!AS$3,base[Exchange],"Betbra")</f>
        <v>0</v>
      </c>
      <c r="AT280" s="2">
        <f>SUMIFS(base[L/P Líquido],base[Data],Extrato!$B280,base[Método],Extrato!AT$3,base[Exchange],"Betbra")</f>
        <v>0</v>
      </c>
      <c r="AU280" s="2">
        <f>SUMIFS(base[L/P Líquido],base[Data],Extrato!$B280,base[Método],Extrato!AU$3,base[Exchange],"Betbra")</f>
        <v>0</v>
      </c>
      <c r="AV280" s="2">
        <f>SUMIFS(base[L/P Líquido],base[Data],Extrato!$B280,base[Método],Extrato!AV$3,base[Exchange],"Betbra")</f>
        <v>0</v>
      </c>
      <c r="AW280" s="2">
        <f>SUMIFS(base[L/P Líquido],base[Data],Extrato!$B280,base[Método],Extrato!AW$3,base[Exchange],"Betbra")</f>
        <v>0</v>
      </c>
      <c r="AX280" s="2">
        <f>SUMIFS(base[L/P Líquido],base[Data],Extrato!$B280,base[Método],Extrato!AX$3,base[Exchange],"Betbra")</f>
        <v>0</v>
      </c>
      <c r="AY280" s="2">
        <f>SUMIFS(base[L/P Líquido],base[Data],Extrato!$B280,base[Método],Extrato!AY$3,base[Exchange],"Betbra")</f>
        <v>0</v>
      </c>
      <c r="AZ280" s="2">
        <f>SUMIF(BetFlow!B:B,Extrato!B280,BetFlow!M:M)</f>
        <v>0</v>
      </c>
      <c r="BA280" s="2">
        <f>SUMIFS(base[L/P Líquido],base[Data],Extrato!$B280,base[Método],Extrato!BA$3,base[Exchange],"Betbra")</f>
        <v>0</v>
      </c>
      <c r="BB280" s="2">
        <f>SUMIFS(base[L/P Líquido],base[Data],Extrato!$B280,base[Método],Extrato!BB$3,base[Exchange],"Betbra")</f>
        <v>0</v>
      </c>
      <c r="BC280" s="2">
        <f>SUMIFS(base[L/P Líquido],base[Data],Extrato!$B280,base[Método],Extrato!BC$3,base[Exchange],"Betbra")</f>
        <v>0</v>
      </c>
      <c r="BD280" s="2">
        <f>SUMIFS(base[L/P Líquido],base[Data],Extrato!$B280,base[Método],Extrato!BD$3,base[Exchange],"Betbra")</f>
        <v>0</v>
      </c>
      <c r="BE280" s="2">
        <f>SUMIFS(base[L/P Líquido],base[Data],Extrato!$B280,base[Método],Extrato!BE$3,base[Exchange],"Betbra")</f>
        <v>0</v>
      </c>
      <c r="BF280" s="2">
        <f>SUMIFS(base[L/P Líquido],base[Data],Extrato!$B280,base[Método],Extrato!BF$3,base[Exchange],"Betbra")</f>
        <v>0</v>
      </c>
      <c r="BG280" s="2">
        <f>SUMIFS(base[L/P Líquido],base[Data],Extrato!$B280,base[Método],Extrato!BG$3,base[Exchange],"Betbra")</f>
        <v>0</v>
      </c>
      <c r="BH280" s="2">
        <f>SUMIFS(base[L/P Líquido],base[Data],Extrato!$B280,base[Método],Extrato!BH$3,base[Exchange],"Betbra")</f>
        <v>0</v>
      </c>
      <c r="BI280" s="2">
        <v>0</v>
      </c>
      <c r="BJ280" s="2">
        <v>0</v>
      </c>
      <c r="BK280" s="435">
        <f t="shared" ref="BK280" si="290">SUM(AR280:BJ280)</f>
        <v>-24.338430490751261</v>
      </c>
      <c r="BM280" s="2">
        <f t="shared" ref="BM280" si="291">BX279</f>
        <v>-9.0951551845463996E-15</v>
      </c>
      <c r="BN280" s="2">
        <f>SUMIFS(base[L/P Líquido],base[Data],Extrato!$B280,base[Método],Extrato!BN$3,base[Exchange],"Bolsa")</f>
        <v>0</v>
      </c>
      <c r="BO280" s="2">
        <f>SUMIFS(base[L/P Líquido],base[Data],Extrato!$B280,base[Método],Extrato!BO$3,base[Exchange],"Bolsa")</f>
        <v>0</v>
      </c>
      <c r="BP280" s="2">
        <f>SUMIFS(base[L/P Líquido],base[Data],Extrato!$B280,base[Método],Extrato!BP$3,base[Exchange],"Bolsa")</f>
        <v>0</v>
      </c>
      <c r="BQ280" s="2">
        <f>SUMIFS(base[L/P Líquido],base[Data],Extrato!$B280,base[Método],Extrato!BQ$3,base[Exchange],"Bolsa")</f>
        <v>0</v>
      </c>
      <c r="BR280" s="2">
        <f>SUMIFS(base[L/P Líquido],base[Data],Extrato!$B280,base[Método],Extrato!BR$3,base[Exchange],"Bolsa")</f>
        <v>0</v>
      </c>
      <c r="BS280" s="2">
        <f>SUMIFS(base[L/P Líquido],base[Data],Extrato!$B280,base[Método],Extrato!BS$3,base[Exchange],"Bolsa")</f>
        <v>0</v>
      </c>
      <c r="BT280" s="2">
        <f>SUMIFS(base[L/P Líquido],base[Data],Extrato!$B280,base[Método],Extrato!BT$3,base[Exchange],"Bolsa")</f>
        <v>0</v>
      </c>
      <c r="BU280" s="2">
        <f>SUMIFS(base[L/P Líquido],base[Data],Extrato!$B280,base[Método],Extrato!BU$3,base[Exchange],"Bolsa")</f>
        <v>0</v>
      </c>
      <c r="BV280" s="2">
        <v>0</v>
      </c>
      <c r="BW280" s="2">
        <v>0</v>
      </c>
      <c r="BX280" s="435">
        <f t="shared" ref="BX280" si="292">SUM(BM280:BW280)</f>
        <v>-9.0951551845463996E-15</v>
      </c>
    </row>
    <row r="281" spans="2:76" ht="15" customHeight="1">
      <c r="B281" s="33">
        <v>46271</v>
      </c>
      <c r="C281" s="2">
        <f t="shared" ref="C281" si="293">AP280</f>
        <v>3784.7326499999908</v>
      </c>
      <c r="D281" s="2">
        <f>SUMIFS(base[L/P Líquido],base[Data],Extrato!$B281,base[Método],Extrato!D$3,base[Exchange],"Fulltbet")</f>
        <v>0</v>
      </c>
      <c r="E281" s="2">
        <f>SUMIFS(base[L/P Líquido],base[Data],Extrato!$B281,base[Método],Extrato!E$3,base[Exchange],"Fulltbet")</f>
        <v>31.83</v>
      </c>
      <c r="F281" s="2">
        <f>SUMIFS(base[L/P Líquido],base[Data],Extrato!$B281,base[Método],Extrato!F$3)</f>
        <v>38.879999999999995</v>
      </c>
      <c r="G281" s="2">
        <f>SUMIFS(base[L/P Líquido],base[Data],Extrato!$B281,base[Método],Extrato!G$3,base[Exchange],"Fulltbet")</f>
        <v>32.990000000000066</v>
      </c>
      <c r="H281" s="2">
        <f>SUMIFS(base[L/P Líquido],base[Data],Extrato!$B281,base[Método],Extrato!H$3)</f>
        <v>6.0999999999999943</v>
      </c>
      <c r="I281" s="2">
        <f>SUMIF(BetFlow!B:B,B281,BetFlow!J:J)</f>
        <v>0</v>
      </c>
      <c r="J281" s="2">
        <f>SUMIFS(base[L/P Líquido],base[Data],Extrato!$B281,base[Método],Extrato!J$3,base[Exchange],"Fulltbet")</f>
        <v>0</v>
      </c>
      <c r="K281" s="2">
        <f>SUMIFS(base[L/P Líquido],base[Data],Extrato!$B281,base[Método],Extrato!K$3,base[Exchange],"Fulltbet")</f>
        <v>0</v>
      </c>
      <c r="L281" s="2">
        <f>SUMIFS(base[L/P Líquido],base[Data],Extrato!$B281,base[Método],Extrato!L$3,base[Exchange],"Fulltbet")</f>
        <v>0</v>
      </c>
      <c r="M281" s="2">
        <f>SUMIFS(base[L/P Líquido],base[Data],Extrato!$B281,base[Método],Extrato!M$3,base[Exchange],"Fulltbet")</f>
        <v>0</v>
      </c>
      <c r="N281" s="2">
        <f>SUMIFS(base[L/P Líquido],base[Data],Extrato!$B281,base[Método],Extrato!N$3,base[Exchange],"Fulltbet")</f>
        <v>0</v>
      </c>
      <c r="O281" s="2">
        <f>SUMIFS(base[L/P Líquido],base[Data],Extrato!$B281,base[Método],Extrato!O$3,base[Exchange],"Fulltbet")</f>
        <v>0</v>
      </c>
      <c r="P281" s="2">
        <f>SUMIFS(base[L/P Líquido],base[Data],Extrato!$B281,base[Método],Extrato!P$3)</f>
        <v>0</v>
      </c>
      <c r="Q281" s="2">
        <f>SUMIFS(base[L/P Líquido],base[Data],Extrato!$B281,base[Método],Extrato!Q$3,base[Exchange],"Fulltbet")</f>
        <v>0</v>
      </c>
      <c r="R281" s="2">
        <f>SUMIFS(base[L/P Líquido],base[Data],Extrato!$B281,base[Método],Extrato!R$3,base[Exchange],"Fulltbet")</f>
        <v>0</v>
      </c>
      <c r="S281" s="2">
        <f>SUMIFS(base[L/P Líquido],base[Data],Extrato!$B281,base[Método],Extrato!S$3,base[Exchange],"Fulltbet")</f>
        <v>0</v>
      </c>
      <c r="T281" s="2">
        <f>SUMIFS(base[L/P Líquido],base[Data],Extrato!$B281,base[Método],Extrato!T$3,base[Exchange],"Fulltbet")</f>
        <v>0</v>
      </c>
      <c r="U281" s="2">
        <f>SUMIFS(base[L/P Líquido],base[Data],Extrato!$B281,base[Método],Extrato!U$3,base[Exchange],"Fulltbet")</f>
        <v>0</v>
      </c>
      <c r="V281" s="2">
        <f>SUMIFS(base[L/P Líquido],base[Data],Extrato!$B281,base[Método],Extrato!V$3,base[Exchange],"Fulltbet")</f>
        <v>0</v>
      </c>
      <c r="W281" s="2">
        <f>SUMIFS(base[L/P Líquido],base[Data],Extrato!$B281,base[Método],Extrato!W$3,base[Exchange],"Fulltbet")</f>
        <v>0</v>
      </c>
      <c r="X281" s="2">
        <f>SUMIFS(base[L/P Líquido],base[Data],Extrato!$B281,base[Método],Extrato!X$3,base[Exchange],"Fulltbet")</f>
        <v>0</v>
      </c>
      <c r="Y281" s="2">
        <f>SUMIFS(base[L/P Líquido],base[Data],Extrato!$B281,base[Método],Extrato!Y$3,base[Exchange],"Fulltbet")</f>
        <v>0</v>
      </c>
      <c r="Z281" s="2">
        <f>SUMIFS(base[L/P Líquido],base[Data],Extrato!$B281,base[Método],Extrato!Z$3,base[Exchange],"Fulltbet")</f>
        <v>0</v>
      </c>
      <c r="AA281" s="2">
        <f>SUMIFS(base[L/P Líquido],base[Data],Extrato!$B281,base[Método],Extrato!AA$3,base[Exchange],"Fulltbet")</f>
        <v>0</v>
      </c>
      <c r="AB281" s="2">
        <f>SUMIFS(base[L/P Líquido],base[Data],Extrato!$B281,base[Método],Extrato!AB$3)</f>
        <v>0</v>
      </c>
      <c r="AC281" s="2">
        <f>SUMIFS(base[L/P Líquido],base[Data],Extrato!$B281,base[Método],Extrato!AC$3)</f>
        <v>0</v>
      </c>
      <c r="AD281" s="2">
        <f>SUMIFS(base[L/P Líquido],base[Data],Extrato!$B281,base[Método],Extrato!AD$3)</f>
        <v>0</v>
      </c>
      <c r="AE281" s="2">
        <f>SUMIFS(base[L/P Líquido],base[Data],Extrato!$B281,base[Método],Extrato!AE$3)</f>
        <v>0</v>
      </c>
      <c r="AF281" s="2">
        <f>SUMIFS(base[L/P Líquido],base[Data],Extrato!$B281,base[Método],Extrato!AF$3)</f>
        <v>0</v>
      </c>
      <c r="AG281" s="2">
        <f>SUMIFS(base[L/P Líquido],base[Data],Extrato!$B281,base[Método],Extrato!AG$3)</f>
        <v>0</v>
      </c>
      <c r="AH281" s="2">
        <f>SUMIFS(base[L/P Líquido],base[Data],Extrato!$B281,base[Método],Extrato!AH$3)</f>
        <v>0</v>
      </c>
      <c r="AI281" s="2">
        <f>SUMIFS(base[L/P Líquido],base[Data],Extrato!$B281,base[Método],Extrato!AI$3)</f>
        <v>0</v>
      </c>
      <c r="AJ281" s="2">
        <f>SUMIFS(base[L/P Líquido],base[Data],Extrato!$B281,base[Método],Extrato!AJ$3)</f>
        <v>0</v>
      </c>
      <c r="AK281" s="2">
        <f>SUMIFS(base[L/P Líquido],base[Data],Extrato!$B281,base[Método],Extrato!AK$3)</f>
        <v>0</v>
      </c>
      <c r="AL281" s="2">
        <f>SUMIFS(base[L/P Líquido],base[Data],Extrato!$B281,base[Método],Extrato!AL$3)</f>
        <v>0</v>
      </c>
      <c r="AM281" s="2">
        <f>SUMIFS(base[L/P Líquido],base[Data],Extrato!$B281,base[Método],Extrato!AM$3)</f>
        <v>0</v>
      </c>
      <c r="AN281" s="2">
        <v>0</v>
      </c>
      <c r="AO281" s="2">
        <v>-0.03</v>
      </c>
      <c r="AP281" s="435">
        <f t="shared" ref="AP281" si="294">SUM(C281:AO281)</f>
        <v>3894.5026499999908</v>
      </c>
      <c r="AR281" s="2">
        <f t="shared" ref="AR281" si="295">BK280</f>
        <v>-24.338430490751261</v>
      </c>
      <c r="AS281" s="2">
        <f>SUMIFS(base[L/P Líquido],base[Data],Extrato!$B281,base[Método],Extrato!AS$3,base[Exchange],"Betbra")</f>
        <v>0</v>
      </c>
      <c r="AT281" s="2">
        <f>SUMIFS(base[L/P Líquido],base[Data],Extrato!$B281,base[Método],Extrato!AT$3,base[Exchange],"Betbra")</f>
        <v>0</v>
      </c>
      <c r="AU281" s="2">
        <f>SUMIFS(base[L/P Líquido],base[Data],Extrato!$B281,base[Método],Extrato!AU$3,base[Exchange],"Betbra")</f>
        <v>0</v>
      </c>
      <c r="AV281" s="2">
        <f>SUMIFS(base[L/P Líquido],base[Data],Extrato!$B281,base[Método],Extrato!AV$3,base[Exchange],"Betbra")</f>
        <v>0</v>
      </c>
      <c r="AW281" s="2">
        <f>SUMIFS(base[L/P Líquido],base[Data],Extrato!$B281,base[Método],Extrato!AW$3,base[Exchange],"Betbra")</f>
        <v>0</v>
      </c>
      <c r="AX281" s="2">
        <f>SUMIFS(base[L/P Líquido],base[Data],Extrato!$B281,base[Método],Extrato!AX$3,base[Exchange],"Betbra")</f>
        <v>0</v>
      </c>
      <c r="AY281" s="2">
        <f>SUMIFS(base[L/P Líquido],base[Data],Extrato!$B281,base[Método],Extrato!AY$3,base[Exchange],"Betbra")</f>
        <v>0</v>
      </c>
      <c r="AZ281" s="2">
        <f>SUMIF(BetFlow!B:B,Extrato!B281,BetFlow!M:M)</f>
        <v>0</v>
      </c>
      <c r="BA281" s="2">
        <f>SUMIFS(base[L/P Líquido],base[Data],Extrato!$B281,base[Método],Extrato!BA$3,base[Exchange],"Betbra")</f>
        <v>0</v>
      </c>
      <c r="BB281" s="2">
        <f>SUMIFS(base[L/P Líquido],base[Data],Extrato!$B281,base[Método],Extrato!BB$3,base[Exchange],"Betbra")</f>
        <v>0</v>
      </c>
      <c r="BC281" s="2">
        <f>SUMIFS(base[L/P Líquido],base[Data],Extrato!$B281,base[Método],Extrato!BC$3,base[Exchange],"Betbra")</f>
        <v>0</v>
      </c>
      <c r="BD281" s="2">
        <f>SUMIFS(base[L/P Líquido],base[Data],Extrato!$B281,base[Método],Extrato!BD$3,base[Exchange],"Betbra")</f>
        <v>0</v>
      </c>
      <c r="BE281" s="2">
        <f>SUMIFS(base[L/P Líquido],base[Data],Extrato!$B281,base[Método],Extrato!BE$3,base[Exchange],"Betbra")</f>
        <v>0</v>
      </c>
      <c r="BF281" s="2">
        <f>SUMIFS(base[L/P Líquido],base[Data],Extrato!$B281,base[Método],Extrato!BF$3,base[Exchange],"Betbra")</f>
        <v>0</v>
      </c>
      <c r="BG281" s="2">
        <f>SUMIFS(base[L/P Líquido],base[Data],Extrato!$B281,base[Método],Extrato!BG$3,base[Exchange],"Betbra")</f>
        <v>0</v>
      </c>
      <c r="BH281" s="2">
        <f>SUMIFS(base[L/P Líquido],base[Data],Extrato!$B281,base[Método],Extrato!BH$3,base[Exchange],"Betbra")</f>
        <v>0</v>
      </c>
      <c r="BI281" s="2">
        <v>0</v>
      </c>
      <c r="BJ281" s="2">
        <v>0</v>
      </c>
      <c r="BK281" s="435">
        <f t="shared" ref="BK281" si="296">SUM(AR281:BJ281)</f>
        <v>-24.338430490751261</v>
      </c>
      <c r="BM281" s="2">
        <f t="shared" ref="BM281" si="297">BX280</f>
        <v>-9.0951551845463996E-15</v>
      </c>
      <c r="BN281" s="2">
        <f>SUMIFS(base[L/P Líquido],base[Data],Extrato!$B281,base[Método],Extrato!BN$3,base[Exchange],"Bolsa")</f>
        <v>0</v>
      </c>
      <c r="BO281" s="2">
        <f>SUMIFS(base[L/P Líquido],base[Data],Extrato!$B281,base[Método],Extrato!BO$3,base[Exchange],"Bolsa")</f>
        <v>0</v>
      </c>
      <c r="BP281" s="2">
        <f>SUMIFS(base[L/P Líquido],base[Data],Extrato!$B281,base[Método],Extrato!BP$3,base[Exchange],"Bolsa")</f>
        <v>0</v>
      </c>
      <c r="BQ281" s="2">
        <f>SUMIFS(base[L/P Líquido],base[Data],Extrato!$B281,base[Método],Extrato!BQ$3,base[Exchange],"Bolsa")</f>
        <v>0</v>
      </c>
      <c r="BR281" s="2">
        <f>SUMIFS(base[L/P Líquido],base[Data],Extrato!$B281,base[Método],Extrato!BR$3,base[Exchange],"Bolsa")</f>
        <v>0</v>
      </c>
      <c r="BS281" s="2">
        <f>SUMIFS(base[L/P Líquido],base[Data],Extrato!$B281,base[Método],Extrato!BS$3,base[Exchange],"Bolsa")</f>
        <v>0</v>
      </c>
      <c r="BT281" s="2">
        <f>SUMIFS(base[L/P Líquido],base[Data],Extrato!$B281,base[Método],Extrato!BT$3,base[Exchange],"Bolsa")</f>
        <v>0</v>
      </c>
      <c r="BU281" s="2">
        <f>SUMIFS(base[L/P Líquido],base[Data],Extrato!$B281,base[Método],Extrato!BU$3,base[Exchange],"Bolsa")</f>
        <v>0</v>
      </c>
      <c r="BV281" s="2">
        <v>0</v>
      </c>
      <c r="BW281" s="2">
        <v>0</v>
      </c>
      <c r="BX281" s="435">
        <f t="shared" ref="BX281" si="298">SUM(BM281:BW281)</f>
        <v>-9.0951551845463996E-15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4" sqref="F14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471" t="s">
        <v>266</v>
      </c>
      <c r="C2" s="1472" t="s">
        <v>385</v>
      </c>
      <c r="E2" s="1471" t="s">
        <v>266</v>
      </c>
      <c r="F2" s="1472" t="s">
        <v>385</v>
      </c>
      <c r="G2" s="641"/>
      <c r="H2" s="1471" t="s">
        <v>266</v>
      </c>
      <c r="I2" s="1472" t="s">
        <v>385</v>
      </c>
      <c r="J2" s="641"/>
      <c r="K2" s="1471" t="s">
        <v>266</v>
      </c>
      <c r="L2" s="1472" t="s">
        <v>385</v>
      </c>
      <c r="M2" s="641"/>
      <c r="N2" s="1471" t="s">
        <v>266</v>
      </c>
      <c r="O2" s="1472" t="s">
        <v>385</v>
      </c>
      <c r="P2" s="641"/>
      <c r="Q2" s="1471" t="s">
        <v>464</v>
      </c>
      <c r="R2" s="1472" t="s">
        <v>463</v>
      </c>
      <c r="S2" s="1472" t="s">
        <v>156</v>
      </c>
      <c r="T2" s="1472" t="s">
        <v>255</v>
      </c>
      <c r="U2" s="641"/>
      <c r="V2" s="1471" t="s">
        <v>266</v>
      </c>
      <c r="W2" s="1472" t="s">
        <v>385</v>
      </c>
    </row>
    <row r="3" spans="2:23" ht="13.2">
      <c r="B3" s="1473" t="s">
        <v>4683</v>
      </c>
      <c r="C3" s="1474">
        <v>542.94060000000002</v>
      </c>
      <c r="E3" s="1476">
        <v>46204</v>
      </c>
      <c r="F3" s="1474">
        <v>8.9599999999999973</v>
      </c>
      <c r="G3" s="641"/>
      <c r="H3" s="1473" t="s">
        <v>3613</v>
      </c>
      <c r="I3" s="1474">
        <v>540.82715000000121</v>
      </c>
      <c r="J3" s="641"/>
      <c r="K3" s="1473" t="s">
        <v>3613</v>
      </c>
      <c r="L3" s="1474">
        <v>540.82715000000121</v>
      </c>
      <c r="M3" s="641"/>
      <c r="N3" s="1473" t="s">
        <v>3613</v>
      </c>
      <c r="O3" s="1474">
        <v>540.82715000000121</v>
      </c>
      <c r="P3" s="641"/>
      <c r="Q3" s="1473" t="s">
        <v>74</v>
      </c>
      <c r="R3" s="1474">
        <v>401.42245000000008</v>
      </c>
      <c r="S3" s="1477">
        <v>1</v>
      </c>
      <c r="T3" s="1474">
        <v>17.033333333333335</v>
      </c>
      <c r="U3" s="641"/>
      <c r="V3" s="1473" t="s">
        <v>626</v>
      </c>
      <c r="W3" s="1474">
        <v>966.17275000000018</v>
      </c>
    </row>
    <row r="4" spans="2:23" ht="13.2">
      <c r="B4" s="1473" t="s">
        <v>3292</v>
      </c>
      <c r="C4" s="1474">
        <v>540.80250000000012</v>
      </c>
      <c r="E4" s="1476">
        <v>46205</v>
      </c>
      <c r="F4" s="1474">
        <v>151.97</v>
      </c>
      <c r="G4" s="641"/>
      <c r="H4" s="1473" t="s">
        <v>267</v>
      </c>
      <c r="I4" s="1474">
        <v>540.82715000000121</v>
      </c>
      <c r="J4" s="641"/>
      <c r="K4" s="1473" t="s">
        <v>267</v>
      </c>
      <c r="L4" s="1474">
        <v>540.82715000000121</v>
      </c>
      <c r="M4" s="641"/>
      <c r="N4" s="1475" t="s">
        <v>3740</v>
      </c>
      <c r="O4" s="1474">
        <v>-445.83000000000004</v>
      </c>
      <c r="P4" s="641"/>
      <c r="Q4" s="1475" t="s">
        <v>692</v>
      </c>
      <c r="R4" s="1474">
        <v>302.65244999999999</v>
      </c>
      <c r="S4" s="1477">
        <v>1</v>
      </c>
      <c r="T4" s="1474">
        <v>14.8</v>
      </c>
      <c r="U4" s="641"/>
      <c r="V4" s="1473" t="s">
        <v>3212</v>
      </c>
      <c r="W4" s="1474">
        <v>489.20999999999941</v>
      </c>
    </row>
    <row r="5" spans="2:23" ht="13.8">
      <c r="B5" s="1473" t="s">
        <v>74</v>
      </c>
      <c r="C5" s="1474">
        <v>401.42245000000008</v>
      </c>
      <c r="E5" s="1476">
        <v>46206</v>
      </c>
      <c r="F5" s="1474">
        <v>359.24</v>
      </c>
      <c r="G5" s="641"/>
      <c r="H5"/>
      <c r="I5"/>
      <c r="J5" s="641"/>
      <c r="K5"/>
      <c r="L5"/>
      <c r="M5" s="641"/>
      <c r="N5" s="1475" t="s">
        <v>75</v>
      </c>
      <c r="O5" s="1474">
        <v>-76.100000000000009</v>
      </c>
      <c r="P5" s="641"/>
      <c r="Q5" s="1475" t="s">
        <v>626</v>
      </c>
      <c r="R5" s="1474">
        <v>17.36</v>
      </c>
      <c r="S5" s="1477">
        <v>1</v>
      </c>
      <c r="T5" s="1474">
        <v>23</v>
      </c>
      <c r="U5" s="641"/>
      <c r="V5" s="1473" t="s">
        <v>693</v>
      </c>
      <c r="W5" s="1474">
        <v>344.90035</v>
      </c>
    </row>
    <row r="6" spans="2:23" ht="13.8">
      <c r="B6" s="1473" t="s">
        <v>3365</v>
      </c>
      <c r="C6" s="1474">
        <v>371.12999999999994</v>
      </c>
      <c r="E6" s="1476">
        <v>46207</v>
      </c>
      <c r="F6" s="1474">
        <v>811.24</v>
      </c>
      <c r="G6" s="641"/>
      <c r="H6"/>
      <c r="I6"/>
      <c r="J6" s="641"/>
      <c r="K6"/>
      <c r="L6"/>
      <c r="M6" s="641"/>
      <c r="N6" s="1475" t="s">
        <v>13</v>
      </c>
      <c r="O6" s="1474">
        <v>82.90000000000002</v>
      </c>
      <c r="P6" s="641"/>
      <c r="Q6" s="1475" t="s">
        <v>693</v>
      </c>
      <c r="R6" s="1474">
        <v>81.41</v>
      </c>
      <c r="S6" s="1477">
        <v>1</v>
      </c>
      <c r="T6" s="1474">
        <v>21.125</v>
      </c>
      <c r="U6" s="641"/>
      <c r="V6" s="1473" t="s">
        <v>692</v>
      </c>
      <c r="W6" s="1474">
        <v>302.65244999999999</v>
      </c>
    </row>
    <row r="7" spans="2:23" ht="13.8">
      <c r="B7" s="1473" t="s">
        <v>3288</v>
      </c>
      <c r="C7" s="1474">
        <v>358.90999999999985</v>
      </c>
      <c r="E7" s="1476">
        <v>46208</v>
      </c>
      <c r="F7" s="1474">
        <v>447.78620000000001</v>
      </c>
      <c r="G7" s="641"/>
      <c r="H7"/>
      <c r="I7"/>
      <c r="J7" s="641"/>
      <c r="K7"/>
      <c r="L7"/>
      <c r="M7" s="641"/>
      <c r="N7" s="1475" t="s">
        <v>692</v>
      </c>
      <c r="O7" s="1474">
        <v>302.65244999999999</v>
      </c>
      <c r="P7" s="641"/>
      <c r="Q7" s="1473" t="s">
        <v>179</v>
      </c>
      <c r="R7" s="1474">
        <v>-843.23</v>
      </c>
      <c r="S7" s="1477">
        <v>0.33333333333333331</v>
      </c>
      <c r="T7" s="1474">
        <v>5.5601027241598731</v>
      </c>
      <c r="U7" s="641"/>
      <c r="V7" s="1473" t="s">
        <v>4303</v>
      </c>
      <c r="W7" s="1474">
        <v>288.30999999999995</v>
      </c>
    </row>
    <row r="8" spans="2:23" ht="13.8">
      <c r="B8" s="1473" t="s">
        <v>3817</v>
      </c>
      <c r="C8" s="1474">
        <v>133.67000000000002</v>
      </c>
      <c r="E8" s="1476">
        <v>46209</v>
      </c>
      <c r="F8" s="1474">
        <v>530.38620000000003</v>
      </c>
      <c r="G8" s="641"/>
      <c r="H8"/>
      <c r="I8"/>
      <c r="J8" s="641"/>
      <c r="K8"/>
      <c r="L8"/>
      <c r="M8" s="641"/>
      <c r="N8" s="1475" t="s">
        <v>626</v>
      </c>
      <c r="O8" s="1474">
        <v>966.17275000000018</v>
      </c>
      <c r="P8" s="641"/>
      <c r="Q8" s="1475" t="s">
        <v>3348</v>
      </c>
      <c r="R8" s="1474">
        <v>-533.34</v>
      </c>
      <c r="S8" s="1477">
        <v>0</v>
      </c>
      <c r="T8" s="1474">
        <v>5.3</v>
      </c>
      <c r="U8" s="641"/>
      <c r="V8" s="1473" t="s">
        <v>1734</v>
      </c>
      <c r="W8" s="1474">
        <v>88.024000000000015</v>
      </c>
    </row>
    <row r="9" spans="2:23" ht="13.8">
      <c r="B9" s="1473" t="s">
        <v>3291</v>
      </c>
      <c r="C9" s="1474">
        <v>76.600000000000009</v>
      </c>
      <c r="E9" s="1476">
        <v>46210</v>
      </c>
      <c r="F9" s="1474">
        <v>581.73620000000005</v>
      </c>
      <c r="G9" s="641"/>
      <c r="H9"/>
      <c r="I9"/>
      <c r="J9" s="641"/>
      <c r="K9"/>
      <c r="L9"/>
      <c r="M9" s="641"/>
      <c r="N9" s="1475" t="s">
        <v>3345</v>
      </c>
      <c r="O9" s="1474">
        <v>-6.2999999999999829</v>
      </c>
      <c r="P9" s="641"/>
      <c r="Q9" s="1475" t="s">
        <v>391</v>
      </c>
      <c r="R9" s="1474">
        <v>-309.89</v>
      </c>
      <c r="S9" s="1477">
        <v>0.5</v>
      </c>
      <c r="T9" s="1474">
        <v>5.6901540862398114</v>
      </c>
      <c r="U9" s="641"/>
      <c r="V9" s="1473" t="s">
        <v>13</v>
      </c>
      <c r="W9" s="1474">
        <v>82.90000000000002</v>
      </c>
    </row>
    <row r="10" spans="2:23" ht="13.8">
      <c r="B10" s="1473" t="s">
        <v>314</v>
      </c>
      <c r="C10" s="1474">
        <v>59.400000000000006</v>
      </c>
      <c r="E10" s="1476">
        <v>46211</v>
      </c>
      <c r="F10" s="1474">
        <v>427.96620000000007</v>
      </c>
      <c r="G10" s="641"/>
      <c r="H10"/>
      <c r="I10"/>
      <c r="J10" s="641"/>
      <c r="K10"/>
      <c r="L10"/>
      <c r="M10" s="641"/>
      <c r="N10" s="1475" t="s">
        <v>693</v>
      </c>
      <c r="O10" s="1474">
        <v>344.90035</v>
      </c>
      <c r="P10" s="641"/>
      <c r="Q10" s="1473" t="s">
        <v>314</v>
      </c>
      <c r="R10" s="1474">
        <v>59.400000000000006</v>
      </c>
      <c r="S10" s="1477">
        <v>0.5714285714285714</v>
      </c>
      <c r="T10" s="1474">
        <v>1.8485714285714285</v>
      </c>
      <c r="U10" s="641"/>
      <c r="V10" s="1473" t="s">
        <v>349</v>
      </c>
      <c r="W10" s="1474">
        <v>59.400000000000006</v>
      </c>
    </row>
    <row r="11" spans="2:23" ht="13.8">
      <c r="B11" s="1473" t="s">
        <v>3612</v>
      </c>
      <c r="C11" s="1474">
        <v>6.3999999999999844</v>
      </c>
      <c r="E11" s="1476">
        <v>46212</v>
      </c>
      <c r="F11" s="1474">
        <v>536.34620000000007</v>
      </c>
      <c r="G11" s="641"/>
      <c r="H11"/>
      <c r="I11"/>
      <c r="J11" s="641"/>
      <c r="K11"/>
      <c r="L11"/>
      <c r="M11" s="641"/>
      <c r="N11" s="1475" t="s">
        <v>3212</v>
      </c>
      <c r="O11" s="1474">
        <v>489.20999999999941</v>
      </c>
      <c r="P11" s="641"/>
      <c r="Q11" s="1475" t="s">
        <v>349</v>
      </c>
      <c r="R11" s="1474">
        <v>59.400000000000006</v>
      </c>
      <c r="S11" s="1477">
        <v>0.5714285714285714</v>
      </c>
      <c r="T11" s="1474">
        <v>1.8485714285714285</v>
      </c>
      <c r="U11" s="641"/>
      <c r="V11" s="1473" t="s">
        <v>3521</v>
      </c>
      <c r="W11" s="1474">
        <v>49.19</v>
      </c>
    </row>
    <row r="12" spans="2:23" ht="13.8">
      <c r="B12" s="1473" t="s">
        <v>3583</v>
      </c>
      <c r="C12" s="1474">
        <v>3.5600000000000014</v>
      </c>
      <c r="E12" s="1476">
        <v>46213</v>
      </c>
      <c r="F12" s="1474">
        <v>622.38620000000003</v>
      </c>
      <c r="G12" s="641"/>
      <c r="H12"/>
      <c r="I12"/>
      <c r="J12" s="641"/>
      <c r="K12"/>
      <c r="L12"/>
      <c r="M12" s="641"/>
      <c r="N12" s="1475" t="s">
        <v>3168</v>
      </c>
      <c r="O12" s="1474">
        <v>-100</v>
      </c>
      <c r="P12" s="641"/>
      <c r="Q12" s="1473" t="s">
        <v>267</v>
      </c>
      <c r="R12" s="1474">
        <v>-382.40755000000001</v>
      </c>
      <c r="S12" s="1477">
        <v>0.75</v>
      </c>
      <c r="T12" s="1474">
        <v>10.778593440891402</v>
      </c>
      <c r="U12" s="641"/>
      <c r="V12" s="1473" t="s">
        <v>315</v>
      </c>
      <c r="W12" s="1474">
        <v>47.75</v>
      </c>
    </row>
    <row r="13" spans="2:23" ht="13.8">
      <c r="B13" s="1473" t="s">
        <v>3766</v>
      </c>
      <c r="C13" s="1474">
        <v>-30.89</v>
      </c>
      <c r="E13" s="1476">
        <v>46214</v>
      </c>
      <c r="F13" s="1474">
        <v>686.93619999999999</v>
      </c>
      <c r="G13" s="641"/>
      <c r="H13" s="641"/>
      <c r="I13" s="641"/>
      <c r="J13" s="641"/>
      <c r="K13" s="641"/>
      <c r="L13" s="641"/>
      <c r="M13" s="641"/>
      <c r="N13" s="1475" t="s">
        <v>3169</v>
      </c>
      <c r="O13" s="1474">
        <v>-67.789999999999992</v>
      </c>
      <c r="P13" s="641"/>
      <c r="Q13"/>
      <c r="R13"/>
      <c r="S13"/>
      <c r="T13"/>
      <c r="U13" s="641"/>
      <c r="V13" s="1473" t="s">
        <v>1755</v>
      </c>
      <c r="W13" s="1474">
        <v>47.75</v>
      </c>
    </row>
    <row r="14" spans="2:23" ht="13.8">
      <c r="B14" s="1473" t="s">
        <v>3366</v>
      </c>
      <c r="C14" s="1474">
        <v>-51.85</v>
      </c>
      <c r="E14" s="1476">
        <v>46215</v>
      </c>
      <c r="F14" s="1474">
        <v>1018.5762</v>
      </c>
      <c r="G14" s="641"/>
      <c r="H14" s="641"/>
      <c r="I14" s="641"/>
      <c r="J14" s="641"/>
      <c r="K14" s="641"/>
      <c r="L14" s="641"/>
      <c r="M14" s="641"/>
      <c r="N14" s="1475" t="s">
        <v>2272</v>
      </c>
      <c r="O14" s="1474">
        <v>43.545750000000005</v>
      </c>
      <c r="P14" s="641"/>
      <c r="Q14"/>
      <c r="R14"/>
      <c r="S14"/>
      <c r="T14"/>
      <c r="U14" s="641"/>
      <c r="V14" s="1473" t="s">
        <v>2272</v>
      </c>
      <c r="W14" s="1474">
        <v>43.545750000000005</v>
      </c>
    </row>
    <row r="15" spans="2:23" ht="13.8">
      <c r="B15" s="1473" t="s">
        <v>1644</v>
      </c>
      <c r="C15" s="1474">
        <v>-113.37839999999994</v>
      </c>
      <c r="E15" s="1476">
        <v>46216</v>
      </c>
      <c r="F15" s="1474">
        <v>1074.9061999999999</v>
      </c>
      <c r="G15" s="641"/>
      <c r="H15" s="641"/>
      <c r="I15" s="641"/>
      <c r="J15" s="641"/>
      <c r="K15" s="641"/>
      <c r="L15" s="641"/>
      <c r="M15" s="641"/>
      <c r="N15" s="1475" t="s">
        <v>2532</v>
      </c>
      <c r="O15" s="1474">
        <v>2.9294500000000001</v>
      </c>
      <c r="P15" s="641"/>
      <c r="Q15"/>
      <c r="R15"/>
      <c r="S15"/>
      <c r="T15"/>
      <c r="U15" s="641"/>
      <c r="V15" s="1473" t="s">
        <v>4099</v>
      </c>
      <c r="W15" s="1474">
        <v>37.729999999999997</v>
      </c>
    </row>
    <row r="16" spans="2:23" ht="13.8">
      <c r="B16" s="1473" t="s">
        <v>3211</v>
      </c>
      <c r="C16" s="1474">
        <v>-132.01999999999978</v>
      </c>
      <c r="E16" s="1476">
        <v>46217</v>
      </c>
      <c r="F16" s="1474">
        <v>1126.3162</v>
      </c>
      <c r="G16" s="641"/>
      <c r="H16" s="641"/>
      <c r="I16" s="641"/>
      <c r="J16" s="641"/>
      <c r="K16" s="641"/>
      <c r="L16" s="641"/>
      <c r="M16" s="641"/>
      <c r="N16" s="1475" t="s">
        <v>1733</v>
      </c>
      <c r="O16" s="1474">
        <v>-2</v>
      </c>
      <c r="P16" s="641"/>
      <c r="Q16"/>
      <c r="R16"/>
      <c r="S16"/>
      <c r="T16"/>
      <c r="U16" s="641"/>
      <c r="V16" s="1473" t="s">
        <v>390</v>
      </c>
      <c r="W16" s="1474">
        <v>36.08</v>
      </c>
    </row>
    <row r="17" spans="2:23" ht="13.8">
      <c r="B17" s="1473" t="s">
        <v>3167</v>
      </c>
      <c r="C17" s="1474">
        <v>-167.79</v>
      </c>
      <c r="E17" s="1476">
        <v>46218</v>
      </c>
      <c r="F17" s="1474">
        <v>1094.9861999999998</v>
      </c>
      <c r="G17" s="641"/>
      <c r="H17" s="641"/>
      <c r="I17" s="641"/>
      <c r="J17" s="641"/>
      <c r="K17" s="641"/>
      <c r="L17" s="641"/>
      <c r="M17" s="641"/>
      <c r="N17" s="1475" t="s">
        <v>349</v>
      </c>
      <c r="O17" s="1474">
        <v>59.400000000000006</v>
      </c>
      <c r="P17" s="641"/>
      <c r="Q17"/>
      <c r="R17"/>
      <c r="S17"/>
      <c r="T17"/>
      <c r="U17" s="641"/>
      <c r="V17" s="1473" t="s">
        <v>3741</v>
      </c>
      <c r="W17" s="1474">
        <v>28.3</v>
      </c>
    </row>
    <row r="18" spans="2:23" ht="13.8">
      <c r="B18" s="1473" t="s">
        <v>3533</v>
      </c>
      <c r="C18" s="1474">
        <v>-196.35</v>
      </c>
      <c r="E18" s="1476">
        <v>46219</v>
      </c>
      <c r="F18" s="1474">
        <v>1216.1061999999997</v>
      </c>
      <c r="G18" s="641"/>
      <c r="H18" s="641"/>
      <c r="I18" s="641"/>
      <c r="J18" s="641"/>
      <c r="K18" s="641"/>
      <c r="L18" s="641"/>
      <c r="M18" s="641"/>
      <c r="N18" s="1475" t="s">
        <v>2849</v>
      </c>
      <c r="O18" s="1474">
        <v>3.2367500000000007</v>
      </c>
      <c r="P18" s="641"/>
      <c r="Q18"/>
      <c r="R18"/>
      <c r="S18"/>
      <c r="T18"/>
      <c r="U18" s="641"/>
      <c r="V18" s="1473" t="s">
        <v>3751</v>
      </c>
      <c r="W18" s="1474">
        <v>21.23</v>
      </c>
    </row>
    <row r="19" spans="2:23" ht="13.8">
      <c r="B19" s="1473" t="s">
        <v>3871</v>
      </c>
      <c r="C19" s="1474">
        <v>-208.82</v>
      </c>
      <c r="E19" s="1476">
        <v>46220</v>
      </c>
      <c r="F19" s="1474">
        <v>1516.5406999999996</v>
      </c>
      <c r="G19" s="641"/>
      <c r="H19" s="641"/>
      <c r="I19" s="641"/>
      <c r="J19" s="641"/>
      <c r="K19" s="641"/>
      <c r="L19" s="641"/>
      <c r="M19" s="641"/>
      <c r="N19" s="1475" t="s">
        <v>2332</v>
      </c>
      <c r="O19" s="1474">
        <v>5.22</v>
      </c>
      <c r="P19" s="641"/>
      <c r="Q19"/>
      <c r="R19"/>
      <c r="S19"/>
      <c r="T19"/>
      <c r="U19" s="641"/>
      <c r="V19" s="1473" t="s">
        <v>3520</v>
      </c>
      <c r="W19" s="1474">
        <v>16.360000000000042</v>
      </c>
    </row>
    <row r="20" spans="2:23" ht="13.8">
      <c r="B20" s="1473" t="s">
        <v>3870</v>
      </c>
      <c r="C20" s="1474">
        <v>-209.68</v>
      </c>
      <c r="E20" s="1476">
        <v>46221</v>
      </c>
      <c r="F20" s="1474">
        <v>1310.8406999999995</v>
      </c>
      <c r="H20" s="641"/>
      <c r="I20" s="641"/>
      <c r="K20" s="641"/>
      <c r="N20" s="1475" t="s">
        <v>3779</v>
      </c>
      <c r="O20" s="1474">
        <v>-51.85</v>
      </c>
      <c r="Q20"/>
      <c r="R20"/>
      <c r="S20"/>
      <c r="T20"/>
      <c r="V20" s="1473" t="s">
        <v>1540</v>
      </c>
      <c r="W20" s="1474">
        <v>9.6900000000000084</v>
      </c>
    </row>
    <row r="21" spans="2:23" ht="13.8">
      <c r="B21" s="1473" t="s">
        <v>179</v>
      </c>
      <c r="C21" s="1474">
        <v>-843.23</v>
      </c>
      <c r="E21" s="1476">
        <v>46222</v>
      </c>
      <c r="F21" s="1474">
        <v>1592.5050999999994</v>
      </c>
      <c r="H21" s="641"/>
      <c r="I21" s="641"/>
      <c r="K21" s="641"/>
      <c r="N21" s="1475" t="s">
        <v>390</v>
      </c>
      <c r="O21" s="1474">
        <v>36.08</v>
      </c>
      <c r="Q21"/>
      <c r="R21"/>
      <c r="S21"/>
      <c r="T21"/>
      <c r="V21" s="1473" t="s">
        <v>2332</v>
      </c>
      <c r="W21" s="1474">
        <v>5.22</v>
      </c>
    </row>
    <row r="22" spans="2:23" ht="13.8">
      <c r="B22" s="1473" t="s">
        <v>267</v>
      </c>
      <c r="C22" s="1474">
        <v>540.82715000000121</v>
      </c>
      <c r="E22" s="1476">
        <v>46223</v>
      </c>
      <c r="F22" s="1474">
        <v>1657.8187499999995</v>
      </c>
      <c r="H22" s="641"/>
      <c r="I22" s="641"/>
      <c r="K22" s="641"/>
      <c r="N22" s="1475" t="s">
        <v>1643</v>
      </c>
      <c r="O22" s="1474">
        <v>-10</v>
      </c>
      <c r="Q22"/>
      <c r="R22"/>
      <c r="S22"/>
      <c r="T22"/>
      <c r="V22" s="1473" t="s">
        <v>2849</v>
      </c>
      <c r="W22" s="1474">
        <v>3.2367500000000007</v>
      </c>
    </row>
    <row r="23" spans="2:23" ht="13.8">
      <c r="B23"/>
      <c r="C23"/>
      <c r="E23" s="1476">
        <v>46224</v>
      </c>
      <c r="F23" s="1474">
        <v>1596.9544999999994</v>
      </c>
      <c r="H23" s="641"/>
      <c r="I23" s="641"/>
      <c r="K23" s="641"/>
      <c r="N23" s="1475" t="s">
        <v>2333</v>
      </c>
      <c r="O23" s="1474">
        <v>-4</v>
      </c>
      <c r="Q23"/>
      <c r="R23"/>
      <c r="S23"/>
      <c r="T23"/>
      <c r="V23" s="1473" t="s">
        <v>2532</v>
      </c>
      <c r="W23" s="1474">
        <v>2.9294500000000001</v>
      </c>
    </row>
    <row r="24" spans="2:23" ht="13.8">
      <c r="B24"/>
      <c r="C24"/>
      <c r="E24" s="1476">
        <v>46225</v>
      </c>
      <c r="F24" s="1474">
        <v>1725.3244999999993</v>
      </c>
      <c r="H24" s="641"/>
      <c r="I24" s="641"/>
      <c r="K24" s="641"/>
      <c r="N24" s="1475" t="s">
        <v>1540</v>
      </c>
      <c r="O24" s="1474">
        <v>9.6900000000000084</v>
      </c>
      <c r="Q24"/>
      <c r="R24"/>
      <c r="S24"/>
      <c r="T24"/>
      <c r="V24" s="1473" t="s">
        <v>1696</v>
      </c>
      <c r="W24" s="1474">
        <v>2.7504</v>
      </c>
    </row>
    <row r="25" spans="2:23" ht="13.8">
      <c r="B25"/>
      <c r="C25"/>
      <c r="E25" s="1476">
        <v>46226</v>
      </c>
      <c r="F25" s="1474">
        <v>1257.8044999999993</v>
      </c>
      <c r="H25" s="641"/>
      <c r="I25" s="641"/>
      <c r="K25" s="641"/>
      <c r="N25" s="1475" t="s">
        <v>2915</v>
      </c>
      <c r="O25" s="1474">
        <v>-44.69</v>
      </c>
      <c r="Q25"/>
      <c r="R25"/>
      <c r="S25"/>
      <c r="T25"/>
      <c r="V25" s="1473" t="s">
        <v>3291</v>
      </c>
      <c r="W25" s="1474">
        <v>2.0699999999999998</v>
      </c>
    </row>
    <row r="26" spans="2:23" ht="13.8">
      <c r="B26"/>
      <c r="C26"/>
      <c r="E26" s="1476">
        <v>46227</v>
      </c>
      <c r="F26" s="1474">
        <v>1410.6325499999994</v>
      </c>
      <c r="H26" s="641"/>
      <c r="I26" s="641"/>
      <c r="K26" s="641"/>
      <c r="N26" s="1475" t="s">
        <v>2916</v>
      </c>
      <c r="O26" s="1474">
        <v>0.71</v>
      </c>
      <c r="Q26"/>
      <c r="R26"/>
      <c r="S26"/>
      <c r="T26"/>
      <c r="V26" s="1473" t="s">
        <v>2302</v>
      </c>
      <c r="W26" s="1474">
        <v>2.0099999999999998</v>
      </c>
    </row>
    <row r="27" spans="2:23" ht="13.8">
      <c r="B27"/>
      <c r="C27"/>
      <c r="E27" s="1476">
        <v>46228</v>
      </c>
      <c r="F27" s="1474">
        <v>1086.1525499999993</v>
      </c>
      <c r="H27" s="641"/>
      <c r="I27" s="641"/>
      <c r="K27" s="641"/>
      <c r="N27" s="1475" t="s">
        <v>3741</v>
      </c>
      <c r="O27" s="1474">
        <v>28.3</v>
      </c>
      <c r="Q27"/>
      <c r="R27"/>
      <c r="S27"/>
      <c r="T27"/>
      <c r="V27" s="1473" t="s">
        <v>2916</v>
      </c>
      <c r="W27" s="1474">
        <v>0.71</v>
      </c>
    </row>
    <row r="28" spans="2:23" ht="13.8">
      <c r="B28"/>
      <c r="C28"/>
      <c r="E28" s="1476">
        <v>46229</v>
      </c>
      <c r="F28" s="1474">
        <v>682.97714999999926</v>
      </c>
      <c r="H28" s="641"/>
      <c r="I28" s="641"/>
      <c r="N28" s="1475" t="s">
        <v>4682</v>
      </c>
      <c r="O28" s="1474">
        <v>-19.214749999999995</v>
      </c>
      <c r="Q28"/>
      <c r="R28"/>
      <c r="S28"/>
      <c r="T28"/>
      <c r="V28" s="1473" t="s">
        <v>1733</v>
      </c>
      <c r="W28" s="1474">
        <v>-2</v>
      </c>
    </row>
    <row r="29" spans="2:23" ht="13.8">
      <c r="B29"/>
      <c r="C29"/>
      <c r="E29" s="1476">
        <v>46230</v>
      </c>
      <c r="F29" s="1474">
        <v>680.02714999999921</v>
      </c>
      <c r="H29" s="641"/>
      <c r="I29" s="641"/>
      <c r="N29" s="1475" t="s">
        <v>1693</v>
      </c>
      <c r="O29" s="1474">
        <v>-128.77000000000001</v>
      </c>
      <c r="Q29" s="641"/>
      <c r="R29" s="641"/>
      <c r="S29" s="641"/>
      <c r="T29" s="641"/>
      <c r="V29" s="1473" t="s">
        <v>1769</v>
      </c>
      <c r="W29" s="1474">
        <v>-2</v>
      </c>
    </row>
    <row r="30" spans="2:23" ht="13.8">
      <c r="B30"/>
      <c r="C30"/>
      <c r="E30" s="1476">
        <v>46231</v>
      </c>
      <c r="F30" s="1474">
        <v>734.21714999999926</v>
      </c>
      <c r="H30" s="641"/>
      <c r="I30" s="641"/>
      <c r="N30" s="1475" t="s">
        <v>1537</v>
      </c>
      <c r="O30" s="1474">
        <v>-621.2299999999999</v>
      </c>
      <c r="Q30" s="641"/>
      <c r="R30" s="641"/>
      <c r="S30" s="641"/>
      <c r="T30" s="641"/>
      <c r="V30" s="1473" t="s">
        <v>2333</v>
      </c>
      <c r="W30" s="1474">
        <v>-4</v>
      </c>
    </row>
    <row r="31" spans="2:23" ht="13.8">
      <c r="B31"/>
      <c r="C31"/>
      <c r="E31" s="1476">
        <v>46232</v>
      </c>
      <c r="F31" s="1474">
        <v>684.4271499999993</v>
      </c>
      <c r="H31" s="641"/>
      <c r="I31" s="641"/>
      <c r="N31" s="1475" t="s">
        <v>1696</v>
      </c>
      <c r="O31" s="1474">
        <v>2.7504</v>
      </c>
      <c r="V31" s="1473" t="s">
        <v>3345</v>
      </c>
      <c r="W31" s="1474">
        <v>-6.2999999999999829</v>
      </c>
    </row>
    <row r="32" spans="2:23" ht="13.8">
      <c r="B32"/>
      <c r="C32"/>
      <c r="E32" s="1476">
        <v>46233</v>
      </c>
      <c r="F32" s="1474">
        <v>711.59714999999926</v>
      </c>
      <c r="H32" s="641"/>
      <c r="I32" s="641"/>
      <c r="N32" s="1475" t="s">
        <v>3348</v>
      </c>
      <c r="O32" s="1474">
        <v>-435.7</v>
      </c>
      <c r="V32" s="1473" t="s">
        <v>1643</v>
      </c>
      <c r="W32" s="1474">
        <v>-10</v>
      </c>
    </row>
    <row r="33" spans="5:23" ht="13.2">
      <c r="E33" s="1476">
        <v>46234</v>
      </c>
      <c r="F33" s="1474">
        <v>540.82714999999916</v>
      </c>
      <c r="H33" s="641"/>
      <c r="I33" s="641"/>
      <c r="N33" s="1475" t="s">
        <v>1755</v>
      </c>
      <c r="O33" s="1474">
        <v>47.75</v>
      </c>
      <c r="V33" s="1473" t="s">
        <v>4302</v>
      </c>
      <c r="W33" s="1474">
        <v>-16.180000000000035</v>
      </c>
    </row>
    <row r="34" spans="5:23" ht="13.2">
      <c r="E34" s="1473" t="s">
        <v>267</v>
      </c>
      <c r="F34" s="1474"/>
      <c r="H34" s="641"/>
      <c r="I34" s="641"/>
      <c r="N34" s="1475" t="s">
        <v>410</v>
      </c>
      <c r="O34" s="1474">
        <v>-215.75</v>
      </c>
      <c r="V34" s="1473" t="s">
        <v>4682</v>
      </c>
      <c r="W34" s="1474">
        <v>-19.214749999999995</v>
      </c>
    </row>
    <row r="35" spans="5:23" ht="13.8">
      <c r="E35"/>
      <c r="F35"/>
      <c r="H35" s="641"/>
      <c r="I35" s="641"/>
      <c r="N35" s="1475" t="s">
        <v>315</v>
      </c>
      <c r="O35" s="1474">
        <v>47.75</v>
      </c>
      <c r="V35" s="1473" t="s">
        <v>4104</v>
      </c>
      <c r="W35" s="1474">
        <v>-32.620000000000005</v>
      </c>
    </row>
    <row r="36" spans="5:23" ht="13.8">
      <c r="E36"/>
      <c r="F36"/>
      <c r="N36" s="1475" t="s">
        <v>1769</v>
      </c>
      <c r="O36" s="1474">
        <v>-2</v>
      </c>
      <c r="V36" s="1473" t="s">
        <v>2915</v>
      </c>
      <c r="W36" s="1474">
        <v>-44.69</v>
      </c>
    </row>
    <row r="37" spans="5:23" ht="13.8">
      <c r="E37"/>
      <c r="F37"/>
      <c r="N37" s="1475" t="s">
        <v>4104</v>
      </c>
      <c r="O37" s="1474">
        <v>-32.620000000000005</v>
      </c>
      <c r="V37" s="1473" t="s">
        <v>3779</v>
      </c>
      <c r="W37" s="1474">
        <v>-51.85</v>
      </c>
    </row>
    <row r="38" spans="5:23" ht="13.8">
      <c r="E38"/>
      <c r="F38"/>
      <c r="N38" s="1475" t="s">
        <v>4099</v>
      </c>
      <c r="O38" s="1474">
        <v>37.729999999999997</v>
      </c>
      <c r="V38" s="1473" t="s">
        <v>1751</v>
      </c>
      <c r="W38" s="1474">
        <v>-62.89</v>
      </c>
    </row>
    <row r="39" spans="5:23" ht="13.8">
      <c r="E39"/>
      <c r="F39"/>
      <c r="N39" s="1475" t="s">
        <v>1734</v>
      </c>
      <c r="O39" s="1474">
        <v>88.024000000000015</v>
      </c>
      <c r="V39" s="1473" t="s">
        <v>3169</v>
      </c>
      <c r="W39" s="1474">
        <v>-67.789999999999992</v>
      </c>
    </row>
    <row r="40" spans="5:23" ht="13.8">
      <c r="E40"/>
      <c r="F40"/>
      <c r="N40" s="1475" t="s">
        <v>3751</v>
      </c>
      <c r="O40" s="1474">
        <v>21.23</v>
      </c>
      <c r="V40" s="1473" t="s">
        <v>75</v>
      </c>
      <c r="W40" s="1474">
        <v>-76.100000000000009</v>
      </c>
    </row>
    <row r="41" spans="5:23" ht="13.8">
      <c r="E41"/>
      <c r="F41"/>
      <c r="N41" s="1475" t="s">
        <v>3521</v>
      </c>
      <c r="O41" s="1474">
        <v>49.19</v>
      </c>
      <c r="V41" s="1473" t="s">
        <v>391</v>
      </c>
      <c r="W41" s="1474">
        <v>-94.379999999999967</v>
      </c>
    </row>
    <row r="42" spans="5:23" ht="13.8">
      <c r="E42"/>
      <c r="F42"/>
      <c r="N42" s="1475" t="s">
        <v>1751</v>
      </c>
      <c r="O42" s="1474">
        <v>-62.89</v>
      </c>
      <c r="V42" s="1473" t="s">
        <v>3168</v>
      </c>
      <c r="W42" s="1474">
        <v>-100</v>
      </c>
    </row>
    <row r="43" spans="5:23" ht="13.8">
      <c r="E43"/>
      <c r="F43"/>
      <c r="N43" s="1475" t="s">
        <v>3291</v>
      </c>
      <c r="O43" s="1474">
        <v>2.0699999999999998</v>
      </c>
      <c r="V43" s="1473" t="s">
        <v>1693</v>
      </c>
      <c r="W43" s="1474">
        <v>-128.77000000000001</v>
      </c>
    </row>
    <row r="44" spans="5:23" ht="13.8">
      <c r="E44"/>
      <c r="F44"/>
      <c r="N44" s="1475" t="s">
        <v>3520</v>
      </c>
      <c r="O44" s="1474">
        <v>16.360000000000042</v>
      </c>
      <c r="V44" s="1473" t="s">
        <v>410</v>
      </c>
      <c r="W44" s="1474">
        <v>-215.75</v>
      </c>
    </row>
    <row r="45" spans="5:23" ht="13.8">
      <c r="E45"/>
      <c r="F45"/>
      <c r="N45" s="1475" t="s">
        <v>391</v>
      </c>
      <c r="O45" s="1474">
        <v>-94.379999999999967</v>
      </c>
      <c r="V45" s="1473" t="s">
        <v>3348</v>
      </c>
      <c r="W45" s="1474">
        <v>-435.7</v>
      </c>
    </row>
    <row r="46" spans="5:23" ht="13.8">
      <c r="E46"/>
      <c r="F46"/>
      <c r="N46" s="1475" t="s">
        <v>2302</v>
      </c>
      <c r="O46" s="1474">
        <v>2.0099999999999998</v>
      </c>
      <c r="V46" s="1473" t="s">
        <v>3740</v>
      </c>
      <c r="W46" s="1474">
        <v>-445.83000000000004</v>
      </c>
    </row>
    <row r="47" spans="5:23" ht="13.8">
      <c r="E47"/>
      <c r="F47"/>
      <c r="N47" s="1475" t="s">
        <v>4303</v>
      </c>
      <c r="O47" s="1474">
        <v>288.30999999999995</v>
      </c>
      <c r="V47" s="1473" t="s">
        <v>1537</v>
      </c>
      <c r="W47" s="1474">
        <v>-621.2299999999999</v>
      </c>
    </row>
    <row r="48" spans="5:23" ht="13.8">
      <c r="E48"/>
      <c r="F48"/>
      <c r="N48" s="1475" t="s">
        <v>4302</v>
      </c>
      <c r="O48" s="1474">
        <v>-16.180000000000035</v>
      </c>
      <c r="V48" s="1473" t="s">
        <v>267</v>
      </c>
      <c r="W48" s="1474">
        <v>540.82715000000121</v>
      </c>
    </row>
    <row r="49" spans="5:23" ht="13.8">
      <c r="E49"/>
      <c r="F49"/>
      <c r="N49" s="1473" t="s">
        <v>267</v>
      </c>
      <c r="O49" s="1474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4075"/>
  <sheetViews>
    <sheetView showGridLines="0" tabSelected="1" zoomScale="60" zoomScaleNormal="60" workbookViewId="0">
      <pane ySplit="2" topLeftCell="A3" activePane="bottomLeft" state="frozen"/>
      <selection pane="bottomLeft" activeCell="P1426" sqref="P1426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10.09765625" style="9" bestFit="1" customWidth="1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3903</v>
      </c>
      <c r="C2" s="1018" t="s">
        <v>3904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3924</v>
      </c>
      <c r="T2" s="1129" t="s">
        <v>2732</v>
      </c>
      <c r="U2" s="1026"/>
    </row>
    <row r="3" spans="2:22" ht="15" customHeight="1">
      <c r="B3" s="13" t="s">
        <v>48</v>
      </c>
      <c r="C3" s="838" t="s">
        <v>3510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3510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3510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3510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3510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3510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3510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3510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3510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3510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3510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3510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3510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3510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3510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3510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3510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3510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3510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3510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3510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3510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3510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3510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3510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3510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3510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3510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3510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3510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3510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3510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3510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3510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3510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3510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3510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3510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3510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3510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3510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3510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3510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3510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3510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3510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3510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3510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3510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3510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3510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3510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3510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3510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3510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3510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3510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3510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3510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4316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3510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3510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3510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3510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3510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3510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3510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3510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3510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3510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3510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3510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3510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3510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3510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3510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3510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3510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3510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3510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3510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3510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3510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4316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3510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3510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3510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3510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3510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3510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3510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3510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3510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3510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3510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3510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3510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3510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3510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3510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3510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3510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3510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3510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3510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3510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3510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3510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3510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3510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3510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3510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3510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3510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3510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3510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1358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3510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1358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3510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3510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3510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3510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3510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3510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3510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3510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3510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3510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3510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3510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3510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3510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3510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3510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3510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3510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3765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3510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3765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3510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3365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3765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3510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3510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3510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3510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3510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3510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3510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3510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3510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3510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3510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3765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3510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3765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3510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3765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3510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3765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3510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3510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3510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3510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3510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3510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3510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3510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3510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3510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3510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4316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3510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3510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3510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3510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3510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3510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3510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3510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3510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3510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3510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3510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3510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3510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3510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3510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3510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3510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3510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3510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3510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3510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3510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4316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3510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3510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3510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4316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3510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3510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3510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3510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3510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3510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3510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3510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3510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4316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3510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3510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3510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3510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3510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3510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3510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3510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3510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3510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3510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3510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3510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3510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3510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3510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3510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3510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3510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3510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3510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3510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3510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3510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3510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3510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3510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3510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4316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3510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3510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3510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3510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3510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3510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3510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3510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3510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3510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3510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3510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3510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3510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3510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3510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3510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3510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3510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3510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3510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3510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3510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3510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3510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3510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3510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3510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3510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3510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3510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3510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3510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3510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3510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3510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4316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3510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3510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3510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3510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3510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3510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3510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3510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3510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3510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3510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3510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3510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3510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3510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3510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3510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3510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3510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3510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3510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3510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3510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3510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3510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3510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3510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3510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3510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3510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3510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4316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3510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3510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3510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3510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3510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3510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3510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3510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3510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4316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3510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3510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4316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3510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4316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3510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3510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4316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3510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4316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3510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4316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3510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3510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3510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4316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3510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3510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3510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3510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3510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3510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3510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3510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3510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3510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3510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3510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3510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3510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3510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3510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3510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3510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3510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3510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3510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4316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3510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3510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3510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3510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3510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3510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3510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3510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4316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3510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3510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3510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3510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3510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3510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3510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3510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3510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3510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3510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3510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3510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3510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3510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4316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3510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3510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3365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3510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3510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3510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3510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3510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4316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3510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3510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3510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3510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3510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3510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3510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3510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3510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3510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4316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3510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3510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3510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3510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3510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4316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3510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3510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3510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3510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3510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3510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3510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3510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3510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3510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3510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3510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3510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3510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3510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3510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3365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3510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3510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3510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3510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3510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3510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3510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3510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3510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3510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3510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3510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3510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3510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3510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3510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3510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3510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3365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3510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3510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3510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3510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3510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4316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3510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3365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3510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3510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3510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3510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3510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3510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3365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3510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3510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3510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3510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3510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4316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3510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3510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3510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3510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3510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4316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3510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3510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3510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3510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3510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3510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3510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3510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3510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3510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3510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3510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3510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3510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3510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3510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3510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3510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3510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3510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3510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3510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3510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3510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3365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3510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3510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3510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3510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3510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3510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3510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3510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3510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3510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3510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3510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3510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3510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3510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3365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3510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3510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3510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3510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3510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3510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3510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3510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3365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3510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3510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3510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3510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3510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3510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3510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3510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3510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3510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3510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3510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3510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3510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3510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3510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3510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3510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3510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3365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3765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3510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3510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3510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3510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3765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3510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3510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3510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3510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3510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3765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3510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3510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3510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3510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3510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3510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3510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3510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3510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3510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3510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3765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3510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3765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3510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3365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3765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3510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3510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3510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3510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3510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3510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3510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3510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3510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3510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3510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3510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3510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3510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3510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3510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3510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3510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3510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3510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3510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3510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3510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3510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3510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3510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3510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3510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3510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3510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3510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3510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3510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3510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3510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3510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3510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3510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3510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3510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3510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3510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3510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3510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3510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3510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3510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3510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3510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3510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3510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3510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3510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3510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3510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485" t="s">
        <v>2917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3510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3510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3510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3510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3510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3510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3510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3510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3510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3365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3510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3510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3510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3510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3510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3510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3510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3510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3510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3510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3510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3510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3510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3510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3510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3510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3365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3510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3510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3510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3510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3510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3510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3510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1212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3510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3510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3510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3365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1213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3510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3510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3510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3510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3510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3510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3510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3510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3510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3510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3510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3510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1214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3510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3510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3510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3510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3765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3510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3510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3510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3765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3510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3510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3510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3365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3765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3510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3510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3510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3510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3510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3510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3510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3365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1215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3510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3510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3510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3510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3365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1215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3510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3510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1215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3510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3510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3510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3510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3510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3510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3510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3510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3510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3510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3510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3365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3510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3510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3510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3510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3510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3510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3510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3510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3510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3510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3510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3510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3510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3510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3510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3510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3510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3510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3510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3510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3510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3510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3510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3510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3510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3510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3510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3510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3510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3510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3365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3510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3510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3510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3510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3510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3510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3510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3510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3510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3510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3510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3510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3510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3510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3510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3510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3510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3510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3510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3510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3510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3510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3510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3510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3510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3510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3510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3510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3510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3510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3510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3365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3510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3510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3510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3510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3510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3510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3510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3510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3510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3510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3510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3510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3510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3510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3510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3365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1216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3510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3510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3510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3510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3510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3510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3510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3365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3510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3365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3510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3510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3510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3510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3510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3510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3365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3510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3510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3510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3365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3510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3510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3510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3365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1216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3510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3510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3510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3510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3510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3510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3365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3510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3510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3510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3510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3510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3510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3510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3510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3510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3510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3510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3510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3510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3510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3510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3510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3510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3510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3510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3510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3510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3510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3510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3510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3510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3510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3510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3510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3510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3510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3510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3510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3510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3510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3510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3510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3510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3510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3510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3510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3510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3365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3510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3510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3510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3510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3510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3510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3510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3510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3510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3510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3510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3510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3510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3510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3510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3510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3510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3365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3510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3510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3510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3510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3510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3510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3510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3510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3510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3510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3510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3510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3510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3510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3510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3510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3510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3510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3510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3510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3510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3510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3510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3510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3510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3510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3510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3510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3510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3510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3510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3510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3510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3510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3510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3510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3510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3510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3510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3510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3510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3510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3510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3510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3510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3365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3510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3365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3510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3510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3510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3510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3510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3510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3510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3510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3510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3365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3510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3510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3510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3510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3510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3510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3510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3510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3510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3510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3510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3510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3510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3510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3510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3510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3510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3510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3510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1216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3510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3510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3510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3510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3510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3510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3510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3365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3510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3510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3510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3510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3510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3510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3510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3510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3510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3510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3510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3510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3510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3510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3510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3510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3510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3510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3510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3510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3510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3510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3510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3510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3510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3510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3510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3510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3510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3510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3510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3510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3510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3510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3510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3510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1212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3510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3510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3510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3510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3510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3510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3510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3510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3510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3510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3510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3510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3510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3510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3510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3510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3365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3510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3510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3510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3510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3510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3510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3510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3510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3510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3510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3510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3510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3510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3510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3510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3510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3510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3510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3510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3510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3510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3510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3510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3510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3510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3510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3510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3510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3510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3510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3510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3510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3510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3510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3510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3510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3510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3510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3365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3510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3510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3510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3510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3510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3510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3510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3510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3510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3510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3510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3510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3510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3510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3510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3510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3510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3510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3510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3510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3510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3510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3510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3510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3510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3510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3510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3510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3510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3510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3510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3510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3510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3510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3510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3510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3365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3510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3510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3365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3510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3510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3510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3510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3510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3510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3510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3510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3510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3510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3510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1216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3510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3365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1216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3510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3510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3510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3365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3510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3510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3510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3510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3510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3510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1212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3510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3510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3510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3510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3510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3510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3510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3365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3510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3510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3510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3510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3510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3510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3510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3510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3365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3510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1217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3510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3510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3365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3510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3510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3510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3365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3510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3510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3510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3510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3365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3765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3510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3510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3510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3510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3510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3510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3510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3510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3510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3510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3510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3510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3365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3765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3510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3510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3510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3510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3510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3510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3510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3510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3510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3510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3510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3510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3365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3510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3510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3510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3510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3510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3510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3510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3365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3510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3510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3510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3510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3365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3510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3510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3510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3365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3510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3510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3510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3510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3510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3510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3510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3510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3510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3510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3510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3365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3510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3510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3510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3510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3510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3510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3365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3510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1243</v>
      </c>
      <c r="C1129" s="838" t="s">
        <v>3510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1242</v>
      </c>
      <c r="C1130" s="838" t="s">
        <v>3510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1241</v>
      </c>
      <c r="C1131" s="838" t="s">
        <v>3510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1240</v>
      </c>
      <c r="C1132" s="838" t="s">
        <v>3510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1239</v>
      </c>
      <c r="C1133" s="838" t="s">
        <v>3510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1238</v>
      </c>
      <c r="C1134" s="838" t="s">
        <v>3510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3365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1237</v>
      </c>
      <c r="C1135" s="838" t="s">
        <v>3510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1236</v>
      </c>
      <c r="C1136" s="838" t="s">
        <v>3510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1235</v>
      </c>
      <c r="C1137" s="838" t="s">
        <v>3510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1234</v>
      </c>
      <c r="C1138" s="838" t="s">
        <v>3510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1233</v>
      </c>
      <c r="C1139" s="838" t="s">
        <v>3510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1232</v>
      </c>
      <c r="C1140" s="838" t="s">
        <v>3510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1249</v>
      </c>
      <c r="C1141" s="838" t="s">
        <v>3510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1249</v>
      </c>
      <c r="C1142" s="838" t="s">
        <v>3510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3365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1256</v>
      </c>
      <c r="C1143" s="838" t="s">
        <v>3510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1255</v>
      </c>
      <c r="C1144" s="838" t="s">
        <v>3510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1254</v>
      </c>
      <c r="C1145" s="838" t="s">
        <v>3510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3365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1253</v>
      </c>
      <c r="C1146" s="838" t="s">
        <v>3510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1252</v>
      </c>
      <c r="C1147" s="838" t="s">
        <v>3510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1251</v>
      </c>
      <c r="C1148" s="838" t="s">
        <v>3510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1250</v>
      </c>
      <c r="C1149" s="838" t="s">
        <v>3510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1308</v>
      </c>
      <c r="C1150" s="838" t="s">
        <v>3510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1307</v>
      </c>
      <c r="C1151" s="838" t="s">
        <v>3510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1306</v>
      </c>
      <c r="C1152" s="838" t="s">
        <v>3510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1305</v>
      </c>
      <c r="C1153" s="838" t="s">
        <v>3510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1304</v>
      </c>
      <c r="C1154" s="838" t="s">
        <v>3510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3365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1303</v>
      </c>
      <c r="C1155" s="838" t="s">
        <v>3510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1302</v>
      </c>
      <c r="C1156" s="838" t="s">
        <v>3510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1326</v>
      </c>
      <c r="C1157" s="838" t="s">
        <v>3510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1325</v>
      </c>
      <c r="C1158" s="838" t="s">
        <v>3510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1324</v>
      </c>
      <c r="C1159" s="838" t="s">
        <v>3510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1323</v>
      </c>
      <c r="C1160" s="838" t="s">
        <v>3510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3365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1322</v>
      </c>
      <c r="C1161" s="838" t="s">
        <v>3510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1321</v>
      </c>
      <c r="C1162" s="838" t="s">
        <v>3510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1320</v>
      </c>
      <c r="C1163" s="838" t="s">
        <v>3510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1319</v>
      </c>
      <c r="C1164" s="838" t="s">
        <v>3510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1318</v>
      </c>
      <c r="C1165" s="838" t="s">
        <v>3510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1317</v>
      </c>
      <c r="C1166" s="838" t="s">
        <v>3510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1316</v>
      </c>
      <c r="C1167" s="838" t="s">
        <v>3510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1315</v>
      </c>
      <c r="C1168" s="838" t="s">
        <v>3510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1314</v>
      </c>
      <c r="C1169" s="838" t="s">
        <v>3510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1313</v>
      </c>
      <c r="C1170" s="838" t="s">
        <v>3510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1312</v>
      </c>
      <c r="C1171" s="838" t="s">
        <v>3510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1311</v>
      </c>
      <c r="C1172" s="838" t="s">
        <v>3510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1310</v>
      </c>
      <c r="C1173" s="838" t="s">
        <v>3510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1335</v>
      </c>
      <c r="C1174" s="838" t="s">
        <v>3510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1334</v>
      </c>
      <c r="C1175" s="838" t="s">
        <v>3510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1333</v>
      </c>
      <c r="C1176" s="838" t="s">
        <v>3510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1332</v>
      </c>
      <c r="C1177" s="838" t="s">
        <v>3510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1331</v>
      </c>
      <c r="C1178" s="838" t="s">
        <v>3510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1330</v>
      </c>
      <c r="C1179" s="838" t="s">
        <v>3510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3365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1329</v>
      </c>
      <c r="C1180" s="838" t="s">
        <v>3510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1328</v>
      </c>
      <c r="C1181" s="838" t="s">
        <v>3510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1327</v>
      </c>
      <c r="C1182" s="838" t="s">
        <v>3510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1336</v>
      </c>
      <c r="C1183" s="838" t="s">
        <v>3510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1344</v>
      </c>
      <c r="C1184" s="838" t="s">
        <v>3510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1344</v>
      </c>
      <c r="C1185" s="838" t="s">
        <v>3510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1345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1343</v>
      </c>
      <c r="C1186" s="838" t="s">
        <v>3510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1342</v>
      </c>
      <c r="C1187" s="838" t="s">
        <v>3510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1341</v>
      </c>
      <c r="C1188" s="838" t="s">
        <v>3510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1339</v>
      </c>
      <c r="C1189" s="838" t="s">
        <v>3510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3765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1339</v>
      </c>
      <c r="C1190" s="838" t="s">
        <v>3510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3765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1340</v>
      </c>
      <c r="C1191" s="838" t="s">
        <v>3510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3765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1339</v>
      </c>
      <c r="C1192" s="838" t="s">
        <v>3510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1338</v>
      </c>
      <c r="C1193" s="838" t="s">
        <v>3510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3765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1337</v>
      </c>
      <c r="C1194" s="838" t="s">
        <v>3510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1349</v>
      </c>
      <c r="C1195" s="838" t="s">
        <v>3510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1352</v>
      </c>
      <c r="C1196" s="838" t="s">
        <v>3510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1348</v>
      </c>
      <c r="C1197" s="838" t="s">
        <v>3510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1351</v>
      </c>
      <c r="C1198" s="838" t="s">
        <v>3510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3365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1350</v>
      </c>
      <c r="C1199" s="838" t="s">
        <v>3510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3765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1349</v>
      </c>
      <c r="C1200" s="838" t="s">
        <v>3510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3765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1348</v>
      </c>
      <c r="C1201" s="838" t="s">
        <v>3510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3765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1347</v>
      </c>
      <c r="C1202" s="838" t="s">
        <v>3510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1346</v>
      </c>
      <c r="C1203" s="838" t="s">
        <v>3510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1355</v>
      </c>
      <c r="C1204" s="838" t="s">
        <v>3510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3365</v>
      </c>
      <c r="I1204" s="1210" t="s">
        <v>1356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1358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1354</v>
      </c>
      <c r="C1205" s="838" t="s">
        <v>3510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1357</v>
      </c>
      <c r="I1205" s="1359" t="s">
        <v>4578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1358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1353</v>
      </c>
      <c r="C1206" s="838" t="s">
        <v>3510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1358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1376</v>
      </c>
      <c r="C1207" s="838" t="s">
        <v>3510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1375</v>
      </c>
      <c r="C1208" s="838" t="s">
        <v>3510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1374</v>
      </c>
      <c r="C1209" s="838" t="s">
        <v>3510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3365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1373</v>
      </c>
      <c r="C1210" s="838" t="s">
        <v>3510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1372</v>
      </c>
      <c r="C1211" s="838" t="s">
        <v>3510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1371</v>
      </c>
      <c r="C1212" s="838" t="s">
        <v>3510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1370</v>
      </c>
      <c r="C1213" s="838" t="s">
        <v>3510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1369</v>
      </c>
      <c r="C1214" s="838" t="s">
        <v>3510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1368</v>
      </c>
      <c r="C1215" s="838" t="s">
        <v>3510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1367</v>
      </c>
      <c r="C1216" s="838" t="s">
        <v>3510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1366</v>
      </c>
      <c r="C1217" s="838" t="s">
        <v>3510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1365</v>
      </c>
      <c r="C1218" s="838" t="s">
        <v>3510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1364</v>
      </c>
      <c r="C1219" s="838" t="s">
        <v>3510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1363</v>
      </c>
      <c r="C1220" s="838" t="s">
        <v>3510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1362</v>
      </c>
      <c r="C1221" s="838" t="s">
        <v>3510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1361</v>
      </c>
      <c r="C1222" s="838" t="s">
        <v>3510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1360</v>
      </c>
      <c r="C1223" s="838" t="s">
        <v>3510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1359</v>
      </c>
      <c r="C1224" s="838" t="s">
        <v>3510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3365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1386</v>
      </c>
      <c r="C1225" s="838" t="s">
        <v>3510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1385</v>
      </c>
      <c r="C1226" s="838" t="s">
        <v>3510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1384</v>
      </c>
      <c r="C1227" s="838" t="s">
        <v>3510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1383</v>
      </c>
      <c r="C1228" s="838" t="s">
        <v>3510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1357</v>
      </c>
      <c r="I1228" s="1359" t="s">
        <v>4578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1382</v>
      </c>
      <c r="C1229" s="838" t="s">
        <v>3510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1381</v>
      </c>
      <c r="C1230" s="838" t="s">
        <v>3510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1357</v>
      </c>
      <c r="I1230" s="1359" t="s">
        <v>4578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1358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1380</v>
      </c>
      <c r="C1231" s="838" t="s">
        <v>3510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1357</v>
      </c>
      <c r="I1231" s="1359" t="s">
        <v>4578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1358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1379</v>
      </c>
      <c r="C1232" s="838" t="s">
        <v>3510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1357</v>
      </c>
      <c r="I1232" s="1359" t="s">
        <v>4578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1358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1378</v>
      </c>
      <c r="C1233" s="838" t="s">
        <v>3510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1377</v>
      </c>
      <c r="C1234" s="838" t="s">
        <v>3510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1358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1377</v>
      </c>
      <c r="C1235" s="838" t="s">
        <v>3510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1388</v>
      </c>
      <c r="C1236" s="838" t="s">
        <v>3510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1394</v>
      </c>
      <c r="C1237" s="838" t="s">
        <v>3510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3765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1393</v>
      </c>
      <c r="C1238" s="838" t="s">
        <v>3510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1392</v>
      </c>
      <c r="C1239" s="838" t="s">
        <v>3510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1391</v>
      </c>
      <c r="C1240" s="838" t="s">
        <v>3510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1390</v>
      </c>
      <c r="C1241" s="838" t="s">
        <v>3510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3765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1389</v>
      </c>
      <c r="C1242" s="838" t="s">
        <v>3510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3365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3765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1400</v>
      </c>
      <c r="C1243" s="838" t="s">
        <v>3510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3765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1399</v>
      </c>
      <c r="C1244" s="838" t="s">
        <v>3510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3765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1398</v>
      </c>
      <c r="C1245" s="838" t="s">
        <v>3510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1358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1397</v>
      </c>
      <c r="C1246" s="838" t="s">
        <v>3510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1357</v>
      </c>
      <c r="I1246" s="1359" t="s">
        <v>4578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1358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1397</v>
      </c>
      <c r="C1247" s="838" t="s">
        <v>3510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1396</v>
      </c>
      <c r="C1248" s="838" t="s">
        <v>3510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1395</v>
      </c>
      <c r="C1249" s="838" t="s">
        <v>3510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1357</v>
      </c>
      <c r="I1249" s="1359" t="s">
        <v>4578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1358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1403</v>
      </c>
      <c r="C1250" s="838" t="s">
        <v>3510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1402</v>
      </c>
      <c r="C1251" s="838" t="s">
        <v>3510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1401</v>
      </c>
      <c r="C1252" s="838" t="s">
        <v>3510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1421</v>
      </c>
      <c r="C1253" s="838" t="s">
        <v>3510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1420</v>
      </c>
      <c r="C1254" s="838" t="s">
        <v>3510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1419</v>
      </c>
      <c r="C1255" s="838" t="s">
        <v>3510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1416</v>
      </c>
      <c r="C1256" s="838" t="s">
        <v>3510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1418</v>
      </c>
      <c r="C1257" s="838" t="s">
        <v>3510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1417</v>
      </c>
      <c r="C1258" s="838" t="s">
        <v>3510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1416</v>
      </c>
      <c r="C1259" s="838" t="s">
        <v>3510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1415</v>
      </c>
      <c r="C1260" s="838" t="s">
        <v>3510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1414</v>
      </c>
      <c r="C1261" s="838" t="s">
        <v>3510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1413</v>
      </c>
      <c r="C1262" s="838" t="s">
        <v>3510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1412</v>
      </c>
      <c r="C1263" s="838" t="s">
        <v>3510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1411</v>
      </c>
      <c r="C1264" s="838" t="s">
        <v>3510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1410</v>
      </c>
      <c r="C1265" s="838" t="s">
        <v>3510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1409</v>
      </c>
      <c r="C1266" s="838" t="s">
        <v>3510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1408</v>
      </c>
      <c r="C1267" s="838" t="s">
        <v>3510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1407</v>
      </c>
      <c r="C1268" s="838" t="s">
        <v>3510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1407</v>
      </c>
      <c r="C1269" s="838" t="s">
        <v>3510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3365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1406</v>
      </c>
      <c r="C1270" s="838" t="s">
        <v>3510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3365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1405</v>
      </c>
      <c r="C1271" s="838" t="s">
        <v>3510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1404</v>
      </c>
      <c r="C1272" s="838" t="s">
        <v>3510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1433</v>
      </c>
      <c r="C1273" s="838" t="s">
        <v>3510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1434</v>
      </c>
      <c r="C1274" s="838" t="s">
        <v>3510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254" t="s">
        <v>1197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1433</v>
      </c>
      <c r="C1275" s="838" t="s">
        <v>3510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3365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1432</v>
      </c>
      <c r="C1276" s="838" t="s">
        <v>3510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1431</v>
      </c>
      <c r="C1277" s="838" t="s">
        <v>3510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1431</v>
      </c>
      <c r="C1278" s="838" t="s">
        <v>3510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3365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1430</v>
      </c>
      <c r="C1279" s="838" t="s">
        <v>3510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3365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1429</v>
      </c>
      <c r="C1280" s="838" t="s">
        <v>3510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1428</v>
      </c>
      <c r="C1281" s="838" t="s">
        <v>3510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254" t="s">
        <v>1197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1427</v>
      </c>
      <c r="C1282" s="838" t="s">
        <v>3510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3365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1426</v>
      </c>
      <c r="C1283" s="838" t="s">
        <v>3510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1425</v>
      </c>
      <c r="C1284" s="838" t="s">
        <v>3510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1436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1424</v>
      </c>
      <c r="C1285" s="838" t="s">
        <v>3510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1357</v>
      </c>
      <c r="I1285" s="1359" t="s">
        <v>4578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1423</v>
      </c>
      <c r="C1286" s="838" t="s">
        <v>3510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1422</v>
      </c>
      <c r="C1287" s="838" t="s">
        <v>3510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1358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1441</v>
      </c>
      <c r="C1288" s="838" t="s">
        <v>3510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1440</v>
      </c>
      <c r="C1289" s="838" t="s">
        <v>3510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1439</v>
      </c>
      <c r="C1290" s="838" t="s">
        <v>3510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1438</v>
      </c>
      <c r="C1291" s="838" t="s">
        <v>3510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1357</v>
      </c>
      <c r="I1291" s="1359" t="s">
        <v>4578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1358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1437</v>
      </c>
      <c r="C1292" s="838" t="s">
        <v>3510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1357</v>
      </c>
      <c r="I1292" s="1359" t="s">
        <v>4578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1358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1437</v>
      </c>
      <c r="C1293" s="838" t="s">
        <v>3510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1472</v>
      </c>
      <c r="C1294" s="838" t="s">
        <v>3510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1471</v>
      </c>
      <c r="C1295" s="838" t="s">
        <v>3510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1470</v>
      </c>
      <c r="C1296" s="838" t="s">
        <v>3510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1358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1469</v>
      </c>
      <c r="C1297" s="838" t="s">
        <v>3510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1358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1468</v>
      </c>
      <c r="C1298" s="838" t="s">
        <v>3510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1467</v>
      </c>
      <c r="C1299" s="838" t="s">
        <v>3510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1466</v>
      </c>
      <c r="C1300" s="838" t="s">
        <v>3510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1465</v>
      </c>
      <c r="C1301" s="838" t="s">
        <v>3510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3365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1464</v>
      </c>
      <c r="C1302" s="838" t="s">
        <v>3510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1463</v>
      </c>
      <c r="C1303" s="838" t="s">
        <v>3510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1462</v>
      </c>
      <c r="C1304" s="838" t="s">
        <v>3510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1461</v>
      </c>
      <c r="C1305" s="838" t="s">
        <v>3510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1460</v>
      </c>
      <c r="C1306" s="838" t="s">
        <v>3510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1459</v>
      </c>
      <c r="C1307" s="838" t="s">
        <v>3510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1458</v>
      </c>
      <c r="C1308" s="838" t="s">
        <v>3510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1457</v>
      </c>
      <c r="C1309" s="838" t="s">
        <v>3510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1456</v>
      </c>
      <c r="C1310" s="838" t="s">
        <v>3510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1455</v>
      </c>
      <c r="C1311" s="838" t="s">
        <v>3510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1454</v>
      </c>
      <c r="C1312" s="838" t="s">
        <v>3510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1453</v>
      </c>
      <c r="C1313" s="838" t="s">
        <v>3510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1452</v>
      </c>
      <c r="C1314" s="838" t="s">
        <v>3510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1451</v>
      </c>
      <c r="C1315" s="838" t="s">
        <v>3510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1450</v>
      </c>
      <c r="C1316" s="838" t="s">
        <v>3510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1449</v>
      </c>
      <c r="C1317" s="838" t="s">
        <v>3510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1448</v>
      </c>
      <c r="C1318" s="838" t="s">
        <v>3510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1447</v>
      </c>
      <c r="C1319" s="838" t="s">
        <v>3510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1446</v>
      </c>
      <c r="C1320" s="838" t="s">
        <v>3510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1445</v>
      </c>
      <c r="C1321" s="838" t="s">
        <v>3510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1444</v>
      </c>
      <c r="C1322" s="838" t="s">
        <v>3510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1443</v>
      </c>
      <c r="C1323" s="838" t="s">
        <v>3510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3365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1358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1442</v>
      </c>
      <c r="C1324" s="838" t="s">
        <v>3510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1358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1480</v>
      </c>
      <c r="C1325" s="838" t="s">
        <v>3510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1479</v>
      </c>
      <c r="C1326" s="838" t="s">
        <v>3510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1481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1478</v>
      </c>
      <c r="C1327" s="838" t="s">
        <v>3510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3365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1477</v>
      </c>
      <c r="C1328" s="838" t="s">
        <v>3510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1481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1476</v>
      </c>
      <c r="C1329" s="838" t="s">
        <v>3510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1475</v>
      </c>
      <c r="C1330" s="838" t="s">
        <v>3510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1474</v>
      </c>
      <c r="C1331" s="838" t="s">
        <v>3510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1481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1493</v>
      </c>
      <c r="C1332" s="838" t="s">
        <v>3510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1492</v>
      </c>
      <c r="C1333" s="838" t="s">
        <v>3510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1491</v>
      </c>
      <c r="C1334" s="838" t="s">
        <v>3510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3365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1494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1490</v>
      </c>
      <c r="C1335" s="838" t="s">
        <v>3510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3765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1489</v>
      </c>
      <c r="C1336" s="838" t="s">
        <v>3510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3765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1488</v>
      </c>
      <c r="C1337" s="838" t="s">
        <v>3510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1487</v>
      </c>
      <c r="C1338" s="838" t="s">
        <v>3510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1486</v>
      </c>
      <c r="C1339" s="838" t="s">
        <v>3510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1485</v>
      </c>
      <c r="C1340" s="838" t="s">
        <v>3510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1484</v>
      </c>
      <c r="C1341" s="838" t="s">
        <v>3510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3365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1483</v>
      </c>
      <c r="C1342" s="838" t="s">
        <v>3510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1357</v>
      </c>
      <c r="I1342" s="1359" t="s">
        <v>4578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1482</v>
      </c>
      <c r="C1343" s="838" t="s">
        <v>3510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3765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1495</v>
      </c>
      <c r="C1344" s="838" t="s">
        <v>3510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1496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1504</v>
      </c>
      <c r="C1345" s="838" t="s">
        <v>3510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1503</v>
      </c>
      <c r="C1346" s="838" t="s">
        <v>3510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1503</v>
      </c>
      <c r="C1347" s="838" t="s">
        <v>3510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1505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1502</v>
      </c>
      <c r="C1348" s="838" t="s">
        <v>3510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1501</v>
      </c>
      <c r="C1349" s="838" t="s">
        <v>3510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1501</v>
      </c>
      <c r="C1350" s="838" t="s">
        <v>3510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1505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1500</v>
      </c>
      <c r="C1351" s="838" t="s">
        <v>3510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1505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1500</v>
      </c>
      <c r="C1352" s="838" t="s">
        <v>3510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1499</v>
      </c>
      <c r="C1353" s="838" t="s">
        <v>3510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1481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1498</v>
      </c>
      <c r="C1354" s="838" t="s">
        <v>3510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3365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1497</v>
      </c>
      <c r="C1355" s="838" t="s">
        <v>3510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3365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1520</v>
      </c>
      <c r="C1356" s="838" t="s">
        <v>3510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1519</v>
      </c>
      <c r="C1357" s="838" t="s">
        <v>3510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1518</v>
      </c>
      <c r="C1358" s="838" t="s">
        <v>3510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1517</v>
      </c>
      <c r="C1359" s="838" t="s">
        <v>3510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1516</v>
      </c>
      <c r="C1360" s="838" t="s">
        <v>3510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1515</v>
      </c>
      <c r="C1361" s="838" t="s">
        <v>3510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1514</v>
      </c>
      <c r="C1362" s="838" t="s">
        <v>3510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3365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1216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1513</v>
      </c>
      <c r="C1363" s="838" t="s">
        <v>3510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1512</v>
      </c>
      <c r="C1364" s="838" t="s">
        <v>3510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1511</v>
      </c>
      <c r="C1365" s="838" t="s">
        <v>3510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3365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1510</v>
      </c>
      <c r="C1366" s="838" t="s">
        <v>3510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1509</v>
      </c>
      <c r="C1367" s="838" t="s">
        <v>3510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1508</v>
      </c>
      <c r="C1368" s="838" t="s">
        <v>3510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1507</v>
      </c>
      <c r="C1369" s="838" t="s">
        <v>3510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1506</v>
      </c>
      <c r="C1370" s="838" t="s">
        <v>3510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1531</v>
      </c>
      <c r="C1371" s="838" t="s">
        <v>3510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1530</v>
      </c>
      <c r="C1372" s="838" t="s">
        <v>3510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1529</v>
      </c>
      <c r="C1373" s="838" t="s">
        <v>3510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1528</v>
      </c>
      <c r="C1374" s="838" t="s">
        <v>3510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1527</v>
      </c>
      <c r="C1375" s="838" t="s">
        <v>3510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3365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1358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1526</v>
      </c>
      <c r="C1376" s="838" t="s">
        <v>3510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1525</v>
      </c>
      <c r="C1377" s="838" t="s">
        <v>3510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3365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1524</v>
      </c>
      <c r="C1378" s="838" t="s">
        <v>3510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1523</v>
      </c>
      <c r="C1379" s="838" t="s">
        <v>3510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3365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1522</v>
      </c>
      <c r="C1380" s="838" t="s">
        <v>3510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3365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1521</v>
      </c>
      <c r="C1381" s="838" t="s">
        <v>3510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1536</v>
      </c>
      <c r="C1382" s="838" t="s">
        <v>3510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1505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1535</v>
      </c>
      <c r="C1383" s="838" t="s">
        <v>3510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1357</v>
      </c>
      <c r="I1383" s="1359" t="s">
        <v>4578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3765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1534</v>
      </c>
      <c r="C1384" s="838" t="s">
        <v>3510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1537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3765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1539</v>
      </c>
      <c r="C1385" s="838" t="s">
        <v>3510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3365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1538</v>
      </c>
      <c r="C1386" s="838" t="s">
        <v>3510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1540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1557</v>
      </c>
      <c r="C1387" s="838" t="s">
        <v>3510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1540</v>
      </c>
      <c r="I1387" s="1224" t="s">
        <v>1553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1556</v>
      </c>
      <c r="C1388" s="838" t="s">
        <v>3510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1540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1555</v>
      </c>
      <c r="C1389" s="838" t="s">
        <v>3510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1540</v>
      </c>
      <c r="I1389" s="1224" t="s">
        <v>1553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1552</v>
      </c>
      <c r="C1390" s="838" t="s">
        <v>3510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1540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1551</v>
      </c>
      <c r="C1391" s="838" t="s">
        <v>3510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1550</v>
      </c>
      <c r="C1392" s="838" t="s">
        <v>3510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3365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1549</v>
      </c>
      <c r="C1393" s="838" t="s">
        <v>3510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1540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1548</v>
      </c>
      <c r="C1394" s="838" t="s">
        <v>3510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1547</v>
      </c>
      <c r="C1395" s="838" t="s">
        <v>3510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1546</v>
      </c>
      <c r="C1396" s="838" t="s">
        <v>3510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1537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1546</v>
      </c>
      <c r="C1397" s="838" t="s">
        <v>3510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3365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1545</v>
      </c>
      <c r="C1398" s="838" t="s">
        <v>3510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1540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1544</v>
      </c>
      <c r="C1399" s="838" t="s">
        <v>3510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1540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1543</v>
      </c>
      <c r="C1400" s="838" t="s">
        <v>3510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1540</v>
      </c>
      <c r="I1400" s="1224" t="s">
        <v>1553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1542</v>
      </c>
      <c r="C1401" s="838" t="s">
        <v>3510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1540</v>
      </c>
      <c r="I1401" s="1224" t="s">
        <v>1553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1541</v>
      </c>
      <c r="C1402" s="838" t="s">
        <v>3510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1540</v>
      </c>
      <c r="I1402" s="1224" t="s">
        <v>1553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1573</v>
      </c>
      <c r="C1403" s="838" t="s">
        <v>3510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1540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1572</v>
      </c>
      <c r="C1404" s="838" t="s">
        <v>3510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1540</v>
      </c>
      <c r="I1404" s="1224" t="s">
        <v>1553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1571</v>
      </c>
      <c r="C1405" s="838" t="s">
        <v>3510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1540</v>
      </c>
      <c r="I1405" s="1224" t="s">
        <v>1553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1570</v>
      </c>
      <c r="C1406" s="838" t="s">
        <v>3510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1540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1569</v>
      </c>
      <c r="C1407" s="838" t="s">
        <v>3510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1540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1568</v>
      </c>
      <c r="C1408" s="838" t="s">
        <v>3510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3365</v>
      </c>
      <c r="I1408" s="1225" t="s">
        <v>1574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1358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1567</v>
      </c>
      <c r="C1409" s="838" t="s">
        <v>3510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1540</v>
      </c>
      <c r="I1409" s="1224" t="s">
        <v>1553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1566</v>
      </c>
      <c r="C1410" s="838" t="s">
        <v>3510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1537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1566</v>
      </c>
      <c r="C1411" s="838" t="s">
        <v>3510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1565</v>
      </c>
      <c r="C1412" s="838" t="s">
        <v>3510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1564</v>
      </c>
      <c r="C1413" s="838" t="s">
        <v>3510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1537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1563</v>
      </c>
      <c r="C1414" s="838" t="s">
        <v>3510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1562</v>
      </c>
      <c r="C1415" s="838" t="s">
        <v>3510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1358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1561</v>
      </c>
      <c r="C1416" s="838" t="s">
        <v>3510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1540</v>
      </c>
      <c r="I1416" s="1224" t="s">
        <v>1553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1560</v>
      </c>
      <c r="C1417" s="838" t="s">
        <v>3510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1358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1559</v>
      </c>
      <c r="C1418" s="838" t="s">
        <v>3510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1540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1582</v>
      </c>
      <c r="C1419" s="838" t="s">
        <v>3510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1540</v>
      </c>
      <c r="I1419" s="1224" t="s">
        <v>1553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1581</v>
      </c>
      <c r="C1420" s="838" t="s">
        <v>3510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1540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1580</v>
      </c>
      <c r="C1421" s="838" t="s">
        <v>3510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1357</v>
      </c>
      <c r="I1421" s="1359" t="s">
        <v>4579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1217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1579</v>
      </c>
      <c r="C1422" s="838" t="s">
        <v>3510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1357</v>
      </c>
      <c r="I1422" s="1359" t="s">
        <v>4579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1578</v>
      </c>
      <c r="C1423" s="838" t="s">
        <v>3510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1357</v>
      </c>
      <c r="I1423" s="1359" t="s">
        <v>4579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1212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1577</v>
      </c>
      <c r="C1424" s="838" t="s">
        <v>3510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1540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1576</v>
      </c>
      <c r="C1425" s="838" t="s">
        <v>3510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1357</v>
      </c>
      <c r="I1425" s="1359" t="s">
        <v>4579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1490" t="s">
        <v>4759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1575</v>
      </c>
      <c r="C1426" s="838" t="s">
        <v>3510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3365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1490" t="s">
        <v>4759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1591</v>
      </c>
      <c r="C1427" s="838" t="s">
        <v>3510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1357</v>
      </c>
      <c r="I1427" s="1359" t="s">
        <v>4579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1593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1590</v>
      </c>
      <c r="C1428" s="838" t="s">
        <v>3510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1540</v>
      </c>
      <c r="I1428" s="1224" t="s">
        <v>1553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1589</v>
      </c>
      <c r="C1429" s="838" t="s">
        <v>3510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1540</v>
      </c>
      <c r="I1429" s="1224" t="s">
        <v>1553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1588</v>
      </c>
      <c r="C1430" s="838" t="s">
        <v>3510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1357</v>
      </c>
      <c r="I1430" s="1359" t="s">
        <v>4579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1594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1587</v>
      </c>
      <c r="C1431" s="838" t="s">
        <v>3510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1357</v>
      </c>
      <c r="I1431" s="1359" t="s">
        <v>4579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1594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1586</v>
      </c>
      <c r="C1432" s="838" t="s">
        <v>3510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1357</v>
      </c>
      <c r="I1432" s="1359" t="s">
        <v>4579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1585</v>
      </c>
      <c r="C1433" s="838" t="s">
        <v>3510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1540</v>
      </c>
      <c r="I1433" s="1224" t="s">
        <v>1553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1584</v>
      </c>
      <c r="C1434" s="838" t="s">
        <v>3510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3365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1584</v>
      </c>
      <c r="C1435" s="838" t="s">
        <v>3510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1537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1592</v>
      </c>
      <c r="C1436" s="838" t="s">
        <v>3510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1357</v>
      </c>
      <c r="I1436" s="1359" t="s">
        <v>4579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1595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1640</v>
      </c>
      <c r="C1437" s="838" t="s">
        <v>3510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1357</v>
      </c>
      <c r="I1437" s="1359" t="s">
        <v>4579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4464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1639</v>
      </c>
      <c r="C1438" s="838" t="s">
        <v>3510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1540</v>
      </c>
      <c r="I1438" s="1224" t="s">
        <v>1553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1638</v>
      </c>
      <c r="C1439" s="838" t="s">
        <v>3510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1540</v>
      </c>
      <c r="I1439" s="1224" t="s">
        <v>1553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1637</v>
      </c>
      <c r="C1440" s="838" t="s">
        <v>3510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1540</v>
      </c>
      <c r="I1440" s="1224" t="s">
        <v>1553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1636</v>
      </c>
      <c r="C1441" s="838" t="s">
        <v>3510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1644</v>
      </c>
      <c r="I1441" s="1228" t="s">
        <v>1693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1635</v>
      </c>
      <c r="C1442" s="838" t="s">
        <v>3510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1644</v>
      </c>
      <c r="I1442" s="1228" t="s">
        <v>1693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1634</v>
      </c>
      <c r="C1443" s="838" t="s">
        <v>3510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1540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1633</v>
      </c>
      <c r="C1444" s="838" t="s">
        <v>3510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1540</v>
      </c>
      <c r="I1444" s="1224" t="s">
        <v>1553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1632</v>
      </c>
      <c r="C1445" s="838" t="s">
        <v>3510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1631</v>
      </c>
      <c r="C1446" s="838" t="s">
        <v>3510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1631</v>
      </c>
      <c r="C1447" s="838" t="s">
        <v>3510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1537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1630</v>
      </c>
      <c r="C1448" s="838" t="s">
        <v>3510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3365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1629</v>
      </c>
      <c r="C1449" s="838" t="s">
        <v>3510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1628</v>
      </c>
      <c r="C1450" s="838" t="s">
        <v>3510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3365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1627</v>
      </c>
      <c r="C1451" s="838" t="s">
        <v>3510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1644</v>
      </c>
      <c r="I1451" s="1228" t="s">
        <v>1693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1626</v>
      </c>
      <c r="C1452" s="838" t="s">
        <v>3510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1644</v>
      </c>
      <c r="I1452" s="1228" t="s">
        <v>1693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1625</v>
      </c>
      <c r="C1453" s="838" t="s">
        <v>3510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1540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1624</v>
      </c>
      <c r="C1454" s="838" t="s">
        <v>3510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1644</v>
      </c>
      <c r="I1454" s="1228" t="s">
        <v>1693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1623</v>
      </c>
      <c r="C1455" s="838" t="s">
        <v>3510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1644</v>
      </c>
      <c r="I1455" s="1228" t="s">
        <v>1540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1622</v>
      </c>
      <c r="C1456" s="838" t="s">
        <v>3510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1644</v>
      </c>
      <c r="I1456" s="1228" t="s">
        <v>1540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1621</v>
      </c>
      <c r="C1457" s="838" t="s">
        <v>3510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1644</v>
      </c>
      <c r="I1457" s="1228" t="s">
        <v>1693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1620</v>
      </c>
      <c r="C1458" s="838" t="s">
        <v>3510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1644</v>
      </c>
      <c r="I1458" s="1228" t="s">
        <v>1693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1619</v>
      </c>
      <c r="C1459" s="838" t="s">
        <v>3510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1644</v>
      </c>
      <c r="I1459" s="1228" t="s">
        <v>1540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1618</v>
      </c>
      <c r="C1460" s="838" t="s">
        <v>3510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1644</v>
      </c>
      <c r="I1460" s="1228" t="s">
        <v>1693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1617</v>
      </c>
      <c r="C1461" s="838" t="s">
        <v>3510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1644</v>
      </c>
      <c r="I1461" s="1228" t="s">
        <v>1540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1616</v>
      </c>
      <c r="C1462" s="838" t="s">
        <v>3510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1644</v>
      </c>
      <c r="I1462" s="1228" t="s">
        <v>1693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1615</v>
      </c>
      <c r="C1463" s="838" t="s">
        <v>3510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1644</v>
      </c>
      <c r="I1463" s="1228" t="s">
        <v>1540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1614</v>
      </c>
      <c r="C1464" s="838" t="s">
        <v>3510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1540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1613</v>
      </c>
      <c r="C1465" s="838" t="s">
        <v>3510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1540</v>
      </c>
      <c r="I1465" s="1226" t="s">
        <v>1553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1612</v>
      </c>
      <c r="C1466" s="838" t="s">
        <v>3510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1540</v>
      </c>
      <c r="I1466" s="1226" t="s">
        <v>1553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1611</v>
      </c>
      <c r="C1467" s="838" t="s">
        <v>3510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1540</v>
      </c>
      <c r="I1467" s="1226" t="s">
        <v>1553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1611</v>
      </c>
      <c r="C1468" s="838" t="s">
        <v>3510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1644</v>
      </c>
      <c r="I1468" s="1228" t="s">
        <v>1540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1610</v>
      </c>
      <c r="C1469" s="838" t="s">
        <v>3510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1644</v>
      </c>
      <c r="I1469" s="1228" t="s">
        <v>1540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1609</v>
      </c>
      <c r="C1470" s="838" t="s">
        <v>3510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1644</v>
      </c>
      <c r="I1470" s="1228" t="s">
        <v>1693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1608</v>
      </c>
      <c r="C1471" s="838" t="s">
        <v>3510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1644</v>
      </c>
      <c r="I1471" s="1228" t="s">
        <v>1540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1607</v>
      </c>
      <c r="C1472" s="838" t="s">
        <v>3510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1644</v>
      </c>
      <c r="I1472" s="1228" t="s">
        <v>1540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1606</v>
      </c>
      <c r="C1473" s="838" t="s">
        <v>3510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1644</v>
      </c>
      <c r="I1473" s="1228" t="s">
        <v>1540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1605</v>
      </c>
      <c r="C1474" s="838" t="s">
        <v>3510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1540</v>
      </c>
      <c r="I1474" s="1226" t="s">
        <v>1553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1604</v>
      </c>
      <c r="C1475" s="838" t="s">
        <v>3510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1644</v>
      </c>
      <c r="I1475" s="1228" t="s">
        <v>1540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1603</v>
      </c>
      <c r="C1476" s="838" t="s">
        <v>3510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1540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1602</v>
      </c>
      <c r="C1477" s="838" t="s">
        <v>3510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1540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1601</v>
      </c>
      <c r="C1478" s="838" t="s">
        <v>3510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1644</v>
      </c>
      <c r="I1478" s="1228" t="s">
        <v>1693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1600</v>
      </c>
      <c r="C1479" s="838" t="s">
        <v>3510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1644</v>
      </c>
      <c r="I1479" s="1226" t="s">
        <v>1641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1599</v>
      </c>
      <c r="C1480" s="838" t="s">
        <v>3510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1598</v>
      </c>
      <c r="C1481" s="838" t="s">
        <v>3510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3365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1597</v>
      </c>
      <c r="C1482" s="838" t="s">
        <v>3510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1540</v>
      </c>
      <c r="I1482" s="1226" t="s">
        <v>1553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1597</v>
      </c>
      <c r="C1483" s="838" t="s">
        <v>3510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1644</v>
      </c>
      <c r="I1483" s="1228" t="s">
        <v>1540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1596</v>
      </c>
      <c r="C1484" s="838" t="s">
        <v>3510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1356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1642</v>
      </c>
      <c r="C1485" s="838" t="s">
        <v>3510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1644</v>
      </c>
      <c r="I1485" s="1228" t="s">
        <v>1643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1692</v>
      </c>
      <c r="C1486" s="838" t="s">
        <v>3510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1644</v>
      </c>
      <c r="I1486" s="1228" t="s">
        <v>1641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1691</v>
      </c>
      <c r="C1487" s="838" t="s">
        <v>3510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1540</v>
      </c>
      <c r="I1487" s="1226" t="s">
        <v>1553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1690</v>
      </c>
      <c r="C1488" s="838" t="s">
        <v>3510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1540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1689</v>
      </c>
      <c r="C1489" s="838" t="s">
        <v>3510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1644</v>
      </c>
      <c r="I1489" s="1228" t="s">
        <v>1693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1688</v>
      </c>
      <c r="C1490" s="838" t="s">
        <v>3510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1540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1687</v>
      </c>
      <c r="C1491" s="838" t="s">
        <v>3510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1644</v>
      </c>
      <c r="I1491" s="1228" t="s">
        <v>1643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1686</v>
      </c>
      <c r="C1492" s="838" t="s">
        <v>3510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1644</v>
      </c>
      <c r="I1492" s="1228" t="s">
        <v>1693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1685</v>
      </c>
      <c r="C1493" s="838" t="s">
        <v>3510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1644</v>
      </c>
      <c r="I1493" s="1228" t="s">
        <v>1694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1684</v>
      </c>
      <c r="C1494" s="838" t="s">
        <v>3510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1644</v>
      </c>
      <c r="I1494" s="1228" t="s">
        <v>1695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1683</v>
      </c>
      <c r="C1495" s="838" t="s">
        <v>3510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1540</v>
      </c>
      <c r="I1495" s="1226" t="s">
        <v>1553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1682</v>
      </c>
      <c r="C1496" s="838" t="s">
        <v>3510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1644</v>
      </c>
      <c r="I1496" s="1228" t="s">
        <v>1696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1681</v>
      </c>
      <c r="C1497" s="838" t="s">
        <v>3510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1644</v>
      </c>
      <c r="I1497" s="1228" t="s">
        <v>1695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1680</v>
      </c>
      <c r="C1498" s="838" t="s">
        <v>3510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1644</v>
      </c>
      <c r="I1498" s="1228" t="s">
        <v>1540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1679</v>
      </c>
      <c r="C1499" s="838" t="s">
        <v>3510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1644</v>
      </c>
      <c r="I1499" s="1228" t="s">
        <v>1694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1678</v>
      </c>
      <c r="C1500" s="838" t="s">
        <v>3510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1677</v>
      </c>
      <c r="C1501" s="838" t="s">
        <v>3510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1644</v>
      </c>
      <c r="I1501" s="1228" t="s">
        <v>1540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1676</v>
      </c>
      <c r="C1502" s="838" t="s">
        <v>3510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1644</v>
      </c>
      <c r="I1502" s="1228" t="s">
        <v>1540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1675</v>
      </c>
      <c r="C1503" s="838" t="s">
        <v>3510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1644</v>
      </c>
      <c r="I1503" s="1228" t="s">
        <v>1693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1674</v>
      </c>
      <c r="C1504" s="838" t="s">
        <v>3510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1644</v>
      </c>
      <c r="I1504" s="1228" t="s">
        <v>1693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1673</v>
      </c>
      <c r="C1505" s="838" t="s">
        <v>3510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1644</v>
      </c>
      <c r="I1505" s="1228" t="s">
        <v>1696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1672</v>
      </c>
      <c r="C1506" s="838" t="s">
        <v>3510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1540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1671</v>
      </c>
      <c r="C1507" s="838" t="s">
        <v>3510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1540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1670</v>
      </c>
      <c r="C1508" s="838" t="s">
        <v>3510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1644</v>
      </c>
      <c r="I1508" s="1228" t="s">
        <v>1693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1669</v>
      </c>
      <c r="C1509" s="838" t="s">
        <v>3510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1644</v>
      </c>
      <c r="I1509" s="1228" t="s">
        <v>1643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1668</v>
      </c>
      <c r="C1510" s="838" t="s">
        <v>3510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1644</v>
      </c>
      <c r="I1510" s="1228" t="s">
        <v>1641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1667</v>
      </c>
      <c r="C1511" s="838" t="s">
        <v>3510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1644</v>
      </c>
      <c r="I1511" s="1228" t="s">
        <v>1693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1666</v>
      </c>
      <c r="C1512" s="838" t="s">
        <v>3510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1540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1665</v>
      </c>
      <c r="C1513" s="838" t="s">
        <v>3510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1644</v>
      </c>
      <c r="I1513" s="1228" t="s">
        <v>1696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1664</v>
      </c>
      <c r="C1514" s="838" t="s">
        <v>3510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1644</v>
      </c>
      <c r="I1514" s="1228" t="s">
        <v>1643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1663</v>
      </c>
      <c r="C1515" s="838" t="s">
        <v>3510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1662</v>
      </c>
      <c r="C1516" s="838" t="s">
        <v>3510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3365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1662</v>
      </c>
      <c r="C1517" s="838" t="s">
        <v>3510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1537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1661</v>
      </c>
      <c r="C1518" s="838" t="s">
        <v>3510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1644</v>
      </c>
      <c r="I1518" s="1228" t="s">
        <v>1540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1660</v>
      </c>
      <c r="C1519" s="838" t="s">
        <v>3510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1537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1659</v>
      </c>
      <c r="C1520" s="838" t="s">
        <v>3510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3365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1216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1658</v>
      </c>
      <c r="C1521" s="838" t="s">
        <v>3510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3365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1658</v>
      </c>
      <c r="C1522" s="838" t="s">
        <v>3510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1644</v>
      </c>
      <c r="I1522" s="1228" t="s">
        <v>1695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1657</v>
      </c>
      <c r="C1523" s="838" t="s">
        <v>3510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1644</v>
      </c>
      <c r="I1523" s="1228" t="s">
        <v>1540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1656</v>
      </c>
      <c r="C1524" s="838" t="s">
        <v>3510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1644</v>
      </c>
      <c r="I1524" s="1228" t="s">
        <v>1693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1655</v>
      </c>
      <c r="C1525" s="838" t="s">
        <v>3510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1644</v>
      </c>
      <c r="I1525" s="1228" t="s">
        <v>1540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1654</v>
      </c>
      <c r="C1526" s="838" t="s">
        <v>3510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1644</v>
      </c>
      <c r="I1526" s="1228" t="s">
        <v>1694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1653</v>
      </c>
      <c r="C1527" s="838" t="s">
        <v>3510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1652</v>
      </c>
      <c r="C1528" s="838" t="s">
        <v>3510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1644</v>
      </c>
      <c r="I1528" s="1228" t="s">
        <v>1540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1651</v>
      </c>
      <c r="C1529" s="838" t="s">
        <v>3510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1644</v>
      </c>
      <c r="I1529" s="1228" t="s">
        <v>1693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1650</v>
      </c>
      <c r="C1530" s="838" t="s">
        <v>3510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1644</v>
      </c>
      <c r="I1530" s="1228" t="s">
        <v>1540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1649</v>
      </c>
      <c r="C1531" s="838" t="s">
        <v>3510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1644</v>
      </c>
      <c r="I1531" s="1228" t="s">
        <v>1693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1648</v>
      </c>
      <c r="C1532" s="838" t="s">
        <v>3510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1644</v>
      </c>
      <c r="I1532" s="1228" t="s">
        <v>1696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1647</v>
      </c>
      <c r="C1533" s="838" t="s">
        <v>3510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1644</v>
      </c>
      <c r="I1533" s="1228" t="s">
        <v>1693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1646</v>
      </c>
      <c r="C1534" s="838" t="s">
        <v>3510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1644</v>
      </c>
      <c r="I1534" s="1228" t="s">
        <v>1540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1645</v>
      </c>
      <c r="C1535" s="838" t="s">
        <v>3510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1644</v>
      </c>
      <c r="I1535" s="1228" t="s">
        <v>1694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1725</v>
      </c>
      <c r="C1536" s="838" t="s">
        <v>3510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1644</v>
      </c>
      <c r="I1536" s="1228" t="s">
        <v>1695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1724</v>
      </c>
      <c r="C1537" s="838" t="s">
        <v>3510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1644</v>
      </c>
      <c r="I1537" s="1228" t="s">
        <v>1641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1723</v>
      </c>
      <c r="C1538" s="838" t="s">
        <v>3510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1644</v>
      </c>
      <c r="I1538" s="1228" t="s">
        <v>1693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1722</v>
      </c>
      <c r="C1539" s="838" t="s">
        <v>3510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1644</v>
      </c>
      <c r="I1539" s="1228" t="s">
        <v>1540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1721</v>
      </c>
      <c r="C1540" s="838" t="s">
        <v>3510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1644</v>
      </c>
      <c r="I1540" s="1228" t="s">
        <v>1540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1720</v>
      </c>
      <c r="C1541" s="838" t="s">
        <v>3510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1644</v>
      </c>
      <c r="I1541" s="1228" t="s">
        <v>1695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1719</v>
      </c>
      <c r="C1542" s="838" t="s">
        <v>3510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1644</v>
      </c>
      <c r="I1542" s="1228" t="s">
        <v>1643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1718</v>
      </c>
      <c r="C1543" s="838" t="s">
        <v>3510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1644</v>
      </c>
      <c r="I1543" s="1228" t="s">
        <v>1693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1717</v>
      </c>
      <c r="C1544" s="838" t="s">
        <v>3510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1644</v>
      </c>
      <c r="I1544" s="1228" t="s">
        <v>1540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1716</v>
      </c>
      <c r="C1545" s="838" t="s">
        <v>3510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1644</v>
      </c>
      <c r="I1545" s="1228" t="s">
        <v>1643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1715</v>
      </c>
      <c r="C1546" s="838" t="s">
        <v>3510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1644</v>
      </c>
      <c r="I1546" s="1228" t="s">
        <v>1540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1714</v>
      </c>
      <c r="C1547" s="838" t="s">
        <v>3510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1644</v>
      </c>
      <c r="I1547" s="1228" t="s">
        <v>1540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1713</v>
      </c>
      <c r="C1548" s="838" t="s">
        <v>3510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1712</v>
      </c>
      <c r="C1549" s="838" t="s">
        <v>3510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1644</v>
      </c>
      <c r="I1549" s="1228" t="s">
        <v>1540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1711</v>
      </c>
      <c r="C1550" s="838" t="s">
        <v>3510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1216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1710</v>
      </c>
      <c r="C1551" s="838" t="s">
        <v>3510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1644</v>
      </c>
      <c r="I1551" s="1228" t="s">
        <v>1693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1709</v>
      </c>
      <c r="C1552" s="838" t="s">
        <v>3510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1644</v>
      </c>
      <c r="I1552" s="1228" t="s">
        <v>1695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1708</v>
      </c>
      <c r="C1553" s="838" t="s">
        <v>3510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1707</v>
      </c>
      <c r="C1554" s="838" t="s">
        <v>3510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1644</v>
      </c>
      <c r="I1554" s="1228" t="s">
        <v>1540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1706</v>
      </c>
      <c r="C1555" s="838" t="s">
        <v>3510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1705</v>
      </c>
      <c r="C1556" s="838" t="s">
        <v>3510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1537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1705</v>
      </c>
      <c r="C1557" s="838" t="s">
        <v>3510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3365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1704</v>
      </c>
      <c r="C1558" s="838" t="s">
        <v>3510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3365</v>
      </c>
      <c r="I1558" s="1228" t="s">
        <v>1574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1703</v>
      </c>
      <c r="C1559" s="838" t="s">
        <v>3510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1644</v>
      </c>
      <c r="I1559" s="1228" t="s">
        <v>1694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1702</v>
      </c>
      <c r="C1560" s="838" t="s">
        <v>3510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1644</v>
      </c>
      <c r="I1560" s="1228" t="s">
        <v>1693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1701</v>
      </c>
      <c r="C1561" s="838" t="s">
        <v>3510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1358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1700</v>
      </c>
      <c r="C1562" s="838" t="s">
        <v>3510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1644</v>
      </c>
      <c r="I1562" s="1228" t="s">
        <v>1693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1699</v>
      </c>
      <c r="C1563" s="838" t="s">
        <v>3510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1644</v>
      </c>
      <c r="I1563" s="1228" t="s">
        <v>1734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1698</v>
      </c>
      <c r="C1564" s="838" t="s">
        <v>3510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1644</v>
      </c>
      <c r="I1564" s="1228" t="s">
        <v>1540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1697</v>
      </c>
      <c r="C1565" s="838" t="s">
        <v>3510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1644</v>
      </c>
      <c r="I1565" s="1228" t="s">
        <v>1693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1732</v>
      </c>
      <c r="C1566" s="838" t="s">
        <v>3510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1644</v>
      </c>
      <c r="I1566" s="1228" t="s">
        <v>1693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1731</v>
      </c>
      <c r="C1567" s="838" t="s">
        <v>3510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1644</v>
      </c>
      <c r="I1567" s="1228" t="s">
        <v>1693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1730</v>
      </c>
      <c r="C1568" s="838" t="s">
        <v>3510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1644</v>
      </c>
      <c r="I1568" s="1228" t="s">
        <v>1734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1729</v>
      </c>
      <c r="C1569" s="838" t="s">
        <v>3510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1644</v>
      </c>
      <c r="I1569" s="1228" t="s">
        <v>1540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1728</v>
      </c>
      <c r="C1570" s="838" t="s">
        <v>3510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1644</v>
      </c>
      <c r="I1570" s="1228" t="s">
        <v>1733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1728</v>
      </c>
      <c r="C1571" s="838" t="s">
        <v>3510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1644</v>
      </c>
      <c r="I1571" s="1228" t="s">
        <v>1734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1727</v>
      </c>
      <c r="C1572" s="838" t="s">
        <v>3510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3365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1726</v>
      </c>
      <c r="C1573" s="838" t="s">
        <v>3510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1644</v>
      </c>
      <c r="I1573" s="1228" t="s">
        <v>1735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1738</v>
      </c>
      <c r="C1574" s="838" t="s">
        <v>3510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1644</v>
      </c>
      <c r="I1574" s="1228" t="s">
        <v>1540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1737</v>
      </c>
      <c r="C1575" s="838" t="s">
        <v>3510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1644</v>
      </c>
      <c r="I1575" s="1228" t="s">
        <v>1734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1750</v>
      </c>
      <c r="C1576" s="838" t="s">
        <v>3510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1644</v>
      </c>
      <c r="I1576" s="1228" t="s">
        <v>1540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1749</v>
      </c>
      <c r="C1577" s="838" t="s">
        <v>3510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1644</v>
      </c>
      <c r="I1577" s="1228" t="s">
        <v>1693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1748</v>
      </c>
      <c r="C1578" s="838" t="s">
        <v>3510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1644</v>
      </c>
      <c r="I1578" s="1229" t="s">
        <v>1643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1747</v>
      </c>
      <c r="C1579" s="838" t="s">
        <v>3510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1644</v>
      </c>
      <c r="I1579" s="1229" t="s">
        <v>1751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1746</v>
      </c>
      <c r="C1580" s="838" t="s">
        <v>3510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1644</v>
      </c>
      <c r="I1580" s="1229" t="s">
        <v>1695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1745</v>
      </c>
      <c r="C1581" s="838" t="s">
        <v>3510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1644</v>
      </c>
      <c r="I1581" s="1228" t="s">
        <v>1693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1744</v>
      </c>
      <c r="C1582" s="838" t="s">
        <v>3510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1644</v>
      </c>
      <c r="I1582" s="1229" t="s">
        <v>1641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1743</v>
      </c>
      <c r="C1583" s="838" t="s">
        <v>3510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1644</v>
      </c>
      <c r="I1583" s="1229" t="s">
        <v>1735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1742</v>
      </c>
      <c r="C1584" s="838" t="s">
        <v>3510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1644</v>
      </c>
      <c r="I1584" s="1228" t="s">
        <v>1540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1741</v>
      </c>
      <c r="C1585" s="838" t="s">
        <v>3510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1644</v>
      </c>
      <c r="I1585" s="1229" t="s">
        <v>1641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1740</v>
      </c>
      <c r="C1586" s="838" t="s">
        <v>3510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3765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1740</v>
      </c>
      <c r="C1587" s="838" t="s">
        <v>3510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1644</v>
      </c>
      <c r="I1587" s="1228" t="s">
        <v>1693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3765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1739</v>
      </c>
      <c r="C1588" s="838" t="s">
        <v>3510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1537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1811</v>
      </c>
      <c r="C1589" s="838" t="s">
        <v>3510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1644</v>
      </c>
      <c r="I1589" s="1228" t="s">
        <v>1734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1810</v>
      </c>
      <c r="C1590" s="838" t="s">
        <v>3510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1644</v>
      </c>
      <c r="I1590" s="1228" t="s">
        <v>1540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1809</v>
      </c>
      <c r="C1591" s="838" t="s">
        <v>3510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1644</v>
      </c>
      <c r="I1591" s="1228" t="s">
        <v>1734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1808</v>
      </c>
      <c r="C1592" s="838" t="s">
        <v>3510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1644</v>
      </c>
      <c r="I1592" s="1229" t="s">
        <v>1695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1807</v>
      </c>
      <c r="C1593" s="838" t="s">
        <v>3510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1644</v>
      </c>
      <c r="I1593" s="1228" t="s">
        <v>1540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1806</v>
      </c>
      <c r="C1594" s="838" t="s">
        <v>3510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1644</v>
      </c>
      <c r="I1594" s="1229" t="s">
        <v>1695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1805</v>
      </c>
      <c r="C1595" s="838" t="s">
        <v>3510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1644</v>
      </c>
      <c r="I1595" s="1228" t="s">
        <v>1734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1804</v>
      </c>
      <c r="C1596" s="838" t="s">
        <v>3510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1217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1804</v>
      </c>
      <c r="C1597" s="838" t="s">
        <v>3510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1644</v>
      </c>
      <c r="I1597" s="1228" t="s">
        <v>1693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1803</v>
      </c>
      <c r="C1598" s="838" t="s">
        <v>3510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1644</v>
      </c>
      <c r="I1598" s="1228" t="s">
        <v>1694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1802</v>
      </c>
      <c r="C1599" s="838" t="s">
        <v>3510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1817</v>
      </c>
      <c r="C1600" s="838" t="s">
        <v>3510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1644</v>
      </c>
      <c r="I1600" s="1228" t="s">
        <v>1734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1816</v>
      </c>
      <c r="C1601" s="838" t="s">
        <v>3510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1644</v>
      </c>
      <c r="I1601" s="1228" t="s">
        <v>1693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1815</v>
      </c>
      <c r="C1602" s="838" t="s">
        <v>3510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1644</v>
      </c>
      <c r="I1602" s="1228" t="s">
        <v>1734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1814</v>
      </c>
      <c r="C1603" s="838" t="s">
        <v>3510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1818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1924</v>
      </c>
      <c r="C1604" s="838" t="s">
        <v>3510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1644</v>
      </c>
      <c r="I1604" s="1231" t="s">
        <v>1769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1923</v>
      </c>
      <c r="C1605" s="838" t="s">
        <v>3510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1922</v>
      </c>
      <c r="C1606" s="838" t="s">
        <v>3510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1644</v>
      </c>
      <c r="I1606" s="1231" t="s">
        <v>1751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1921</v>
      </c>
      <c r="C1607" s="838" t="s">
        <v>3510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1644</v>
      </c>
      <c r="I1607" s="1231" t="s">
        <v>1751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1920</v>
      </c>
      <c r="C1608" s="838" t="s">
        <v>3510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1644</v>
      </c>
      <c r="I1608" s="1231" t="s">
        <v>1540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1919</v>
      </c>
      <c r="C1609" s="838" t="s">
        <v>3510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1644</v>
      </c>
      <c r="I1609" s="1228" t="s">
        <v>1693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1918</v>
      </c>
      <c r="C1610" s="838" t="s">
        <v>3510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1644</v>
      </c>
      <c r="I1610" s="1228" t="s">
        <v>1734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1917</v>
      </c>
      <c r="C1611" s="838" t="s">
        <v>3510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1916</v>
      </c>
      <c r="C1612" s="838" t="s">
        <v>3510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1644</v>
      </c>
      <c r="I1612" s="1231" t="s">
        <v>1735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1915</v>
      </c>
      <c r="C1613" s="838" t="s">
        <v>3510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3365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2006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1914</v>
      </c>
      <c r="C1614" s="838" t="s">
        <v>3510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1644</v>
      </c>
      <c r="I1614" s="1231" t="s">
        <v>1769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1913</v>
      </c>
      <c r="C1615" s="838" t="s">
        <v>3510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1644</v>
      </c>
      <c r="I1615" s="1228" t="s">
        <v>1693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1912</v>
      </c>
      <c r="C1616" s="838" t="s">
        <v>3510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1644</v>
      </c>
      <c r="I1616" s="1228" t="s">
        <v>1693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1911</v>
      </c>
      <c r="C1617" s="838" t="s">
        <v>3510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1644</v>
      </c>
      <c r="I1617" s="1231" t="s">
        <v>1641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1910</v>
      </c>
      <c r="C1618" s="838" t="s">
        <v>3510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1644</v>
      </c>
      <c r="I1618" s="1228" t="s">
        <v>1693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1909</v>
      </c>
      <c r="C1619" s="838" t="s">
        <v>3510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1644</v>
      </c>
      <c r="I1619" s="1231" t="s">
        <v>1540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1908</v>
      </c>
      <c r="C1620" s="838" t="s">
        <v>3510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1644</v>
      </c>
      <c r="I1620" s="1231" t="s">
        <v>1695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1907</v>
      </c>
      <c r="C1621" s="838" t="s">
        <v>3510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1644</v>
      </c>
      <c r="I1621" s="1231" t="s">
        <v>1733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1906</v>
      </c>
      <c r="C1622" s="838" t="s">
        <v>3510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1905</v>
      </c>
      <c r="C1623" s="838" t="s">
        <v>3510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1904</v>
      </c>
      <c r="C1624" s="838" t="s">
        <v>3510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1644</v>
      </c>
      <c r="I1624" s="1228" t="s">
        <v>1734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2005</v>
      </c>
      <c r="C1625" s="838" t="s">
        <v>3510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2004</v>
      </c>
      <c r="C1626" s="838" t="s">
        <v>3510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1644</v>
      </c>
      <c r="I1626" s="1231" t="s">
        <v>1769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2003</v>
      </c>
      <c r="C1627" s="838" t="s">
        <v>3510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1644</v>
      </c>
      <c r="I1627" s="1231" t="s">
        <v>1540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2002</v>
      </c>
      <c r="C1628" s="838" t="s">
        <v>3510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1644</v>
      </c>
      <c r="I1628" s="1231" t="s">
        <v>1540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2001</v>
      </c>
      <c r="C1629" s="838" t="s">
        <v>3510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2000</v>
      </c>
      <c r="C1630" s="838" t="s">
        <v>3510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1644</v>
      </c>
      <c r="I1630" s="1231" t="s">
        <v>1540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1999</v>
      </c>
      <c r="C1631" s="838" t="s">
        <v>3510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1644</v>
      </c>
      <c r="I1631" s="1228" t="s">
        <v>1734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1998</v>
      </c>
      <c r="C1632" s="838" t="s">
        <v>3510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1997</v>
      </c>
      <c r="C1633" s="838" t="s">
        <v>3510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1644</v>
      </c>
      <c r="I1633" s="1231" t="s">
        <v>1733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1997</v>
      </c>
      <c r="C1634" s="838" t="s">
        <v>3510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1644</v>
      </c>
      <c r="I1634" s="1228" t="s">
        <v>1734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1996</v>
      </c>
      <c r="C1635" s="838" t="s">
        <v>3510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1995</v>
      </c>
      <c r="C1636" s="838" t="s">
        <v>3510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1644</v>
      </c>
      <c r="I1636" s="1231" t="s">
        <v>1540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1994</v>
      </c>
      <c r="C1637" s="838" t="s">
        <v>3510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1644</v>
      </c>
      <c r="I1637" s="1228" t="s">
        <v>1734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1993</v>
      </c>
      <c r="C1638" s="838" t="s">
        <v>3510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1644</v>
      </c>
      <c r="I1638" s="1231" t="s">
        <v>1696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1992</v>
      </c>
      <c r="C1639" s="838" t="s">
        <v>3510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1644</v>
      </c>
      <c r="I1639" s="1231" t="s">
        <v>1695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1991</v>
      </c>
      <c r="C1640" s="838" t="s">
        <v>3510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1644</v>
      </c>
      <c r="I1640" s="1231" t="s">
        <v>1643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1990</v>
      </c>
      <c r="C1641" s="838" t="s">
        <v>3510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3365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1989</v>
      </c>
      <c r="C1642" s="838" t="s">
        <v>3510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1644</v>
      </c>
      <c r="I1642" s="1231" t="s">
        <v>1733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1988</v>
      </c>
      <c r="C1643" s="838" t="s">
        <v>3510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1644</v>
      </c>
      <c r="I1643" s="1231" t="s">
        <v>1693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1987</v>
      </c>
      <c r="C1644" s="838" t="s">
        <v>3510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1644</v>
      </c>
      <c r="I1644" s="1231" t="s">
        <v>1641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1986</v>
      </c>
      <c r="C1645" s="838" t="s">
        <v>3510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1644</v>
      </c>
      <c r="I1645" s="1231" t="s">
        <v>1641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1985</v>
      </c>
      <c r="C1646" s="838" t="s">
        <v>3510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1644</v>
      </c>
      <c r="I1646" s="1231" t="s">
        <v>1733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1984</v>
      </c>
      <c r="C1647" s="838" t="s">
        <v>3510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1644</v>
      </c>
      <c r="I1647" s="1231" t="s">
        <v>1540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1983</v>
      </c>
      <c r="C1648" s="838" t="s">
        <v>3510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1644</v>
      </c>
      <c r="I1648" s="1231" t="s">
        <v>1641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1982</v>
      </c>
      <c r="C1649" s="838" t="s">
        <v>3510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1644</v>
      </c>
      <c r="I1649" s="1231" t="s">
        <v>1641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1981</v>
      </c>
      <c r="C1650" s="838" t="s">
        <v>3510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1818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1980</v>
      </c>
      <c r="C1651" s="838" t="s">
        <v>3510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1644</v>
      </c>
      <c r="I1651" s="1231" t="s">
        <v>1540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1979</v>
      </c>
      <c r="C1652" s="838" t="s">
        <v>3510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1978</v>
      </c>
      <c r="C1653" s="838" t="s">
        <v>3510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1644</v>
      </c>
      <c r="I1653" s="1231" t="s">
        <v>1695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1977</v>
      </c>
      <c r="C1654" s="838" t="s">
        <v>3510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1644</v>
      </c>
      <c r="I1654" s="1231" t="s">
        <v>1696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1976</v>
      </c>
      <c r="C1655" s="838" t="s">
        <v>3510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1644</v>
      </c>
      <c r="I1655" s="1231" t="s">
        <v>1641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1975</v>
      </c>
      <c r="C1656" s="838" t="s">
        <v>3510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1644</v>
      </c>
      <c r="I1656" s="1231" t="s">
        <v>1643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1974</v>
      </c>
      <c r="C1657" s="838" t="s">
        <v>3510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1644</v>
      </c>
      <c r="I1657" s="1231" t="s">
        <v>1735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1973</v>
      </c>
      <c r="C1658" s="838" t="s">
        <v>3510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1972</v>
      </c>
      <c r="C1659" s="838" t="s">
        <v>3510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1644</v>
      </c>
      <c r="I1659" s="1231" t="s">
        <v>1693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1971</v>
      </c>
      <c r="C1660" s="838" t="s">
        <v>3510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1644</v>
      </c>
      <c r="I1660" s="1231" t="s">
        <v>1735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1970</v>
      </c>
      <c r="C1661" s="838" t="s">
        <v>3510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1644</v>
      </c>
      <c r="I1661" s="1231" t="s">
        <v>1735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1969</v>
      </c>
      <c r="C1662" s="838" t="s">
        <v>3510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1644</v>
      </c>
      <c r="I1662" s="1231" t="s">
        <v>1641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1968</v>
      </c>
      <c r="C1663" s="838" t="s">
        <v>3510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3365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1967</v>
      </c>
      <c r="C1664" s="838" t="s">
        <v>3510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1644</v>
      </c>
      <c r="I1664" s="1231" t="s">
        <v>1540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1966</v>
      </c>
      <c r="C1665" s="838" t="s">
        <v>3510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1644</v>
      </c>
      <c r="I1665" s="1231" t="s">
        <v>1540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1965</v>
      </c>
      <c r="C1666" s="838" t="s">
        <v>3510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1644</v>
      </c>
      <c r="I1666" s="1231" t="s">
        <v>1769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1964</v>
      </c>
      <c r="C1667" s="838" t="s">
        <v>3510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1644</v>
      </c>
      <c r="I1667" s="1231" t="s">
        <v>1540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1963</v>
      </c>
      <c r="C1668" s="838" t="s">
        <v>3510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1644</v>
      </c>
      <c r="I1668" s="1231" t="s">
        <v>1540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1962</v>
      </c>
      <c r="C1669" s="838" t="s">
        <v>3510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1961</v>
      </c>
      <c r="C1670" s="838" t="s">
        <v>3510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3365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1960</v>
      </c>
      <c r="C1671" s="838" t="s">
        <v>3510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1644</v>
      </c>
      <c r="I1671" s="1231" t="s">
        <v>1734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1959</v>
      </c>
      <c r="C1672" s="838" t="s">
        <v>3510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1644</v>
      </c>
      <c r="I1672" s="1231" t="s">
        <v>1693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1958</v>
      </c>
      <c r="C1673" s="838" t="s">
        <v>3510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1537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1957</v>
      </c>
      <c r="C1674" s="838" t="s">
        <v>3510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1956</v>
      </c>
      <c r="C1675" s="838" t="s">
        <v>3510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1644</v>
      </c>
      <c r="I1675" s="1231" t="s">
        <v>1540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1955</v>
      </c>
      <c r="C1676" s="838" t="s">
        <v>3510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1954</v>
      </c>
      <c r="C1677" s="838" t="s">
        <v>3510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1644</v>
      </c>
      <c r="I1677" s="1231" t="s">
        <v>1769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1953</v>
      </c>
      <c r="C1678" s="838" t="s">
        <v>3510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1644</v>
      </c>
      <c r="I1678" s="1231" t="s">
        <v>1641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1952</v>
      </c>
      <c r="C1679" s="838" t="s">
        <v>3510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1644</v>
      </c>
      <c r="I1679" s="1231" t="s">
        <v>1693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1951</v>
      </c>
      <c r="C1680" s="838" t="s">
        <v>3510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1644</v>
      </c>
      <c r="I1680" s="1231" t="s">
        <v>1734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1950</v>
      </c>
      <c r="C1681" s="838" t="s">
        <v>3510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1644</v>
      </c>
      <c r="I1681" s="1231" t="s">
        <v>1540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1949</v>
      </c>
      <c r="C1682" s="838" t="s">
        <v>3510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1644</v>
      </c>
      <c r="I1682" s="1231" t="s">
        <v>1735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1948</v>
      </c>
      <c r="C1683" s="838" t="s">
        <v>3510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1644</v>
      </c>
      <c r="I1683" s="1231" t="s">
        <v>1735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1947</v>
      </c>
      <c r="C1684" s="838" t="s">
        <v>3510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1644</v>
      </c>
      <c r="I1684" s="1231" t="s">
        <v>1643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1946</v>
      </c>
      <c r="C1685" s="838" t="s">
        <v>3510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1945</v>
      </c>
      <c r="C1686" s="838" t="s">
        <v>3510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1644</v>
      </c>
      <c r="I1686" s="1231" t="s">
        <v>1641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1944</v>
      </c>
      <c r="C1687" s="838" t="s">
        <v>3510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1358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1943</v>
      </c>
      <c r="C1688" s="838" t="s">
        <v>3510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1942</v>
      </c>
      <c r="C1689" s="838" t="s">
        <v>3510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1644</v>
      </c>
      <c r="I1689" s="1231" t="s">
        <v>1641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1941</v>
      </c>
      <c r="C1690" s="838" t="s">
        <v>3510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1644</v>
      </c>
      <c r="I1690" s="1231" t="s">
        <v>1751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1940</v>
      </c>
      <c r="C1691" s="838" t="s">
        <v>3510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1644</v>
      </c>
      <c r="I1691" s="1231" t="s">
        <v>1540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1939</v>
      </c>
      <c r="C1692" s="838" t="s">
        <v>3510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3365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1939</v>
      </c>
      <c r="C1693" s="838" t="s">
        <v>3510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1537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1938</v>
      </c>
      <c r="C1694" s="838" t="s">
        <v>3510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1644</v>
      </c>
      <c r="I1694" s="1231" t="s">
        <v>1734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1937</v>
      </c>
      <c r="C1695" s="838" t="s">
        <v>3510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1644</v>
      </c>
      <c r="I1695" s="1231" t="s">
        <v>1540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1936</v>
      </c>
      <c r="C1696" s="838" t="s">
        <v>3510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1644</v>
      </c>
      <c r="I1696" s="1231" t="s">
        <v>1693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1935</v>
      </c>
      <c r="C1697" s="838" t="s">
        <v>3510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3365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1358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1935</v>
      </c>
      <c r="C1698" s="838" t="s">
        <v>3510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1644</v>
      </c>
      <c r="I1698" s="1231" t="s">
        <v>1751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1934</v>
      </c>
      <c r="C1699" s="838" t="s">
        <v>3510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1644</v>
      </c>
      <c r="I1699" s="1231" t="s">
        <v>1540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1933</v>
      </c>
      <c r="C1700" s="838" t="s">
        <v>3510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1644</v>
      </c>
      <c r="I1700" s="1231" t="s">
        <v>1693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1932</v>
      </c>
      <c r="C1701" s="838" t="s">
        <v>3510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1644</v>
      </c>
      <c r="I1701" s="1231" t="s">
        <v>1693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1931</v>
      </c>
      <c r="C1702" s="838" t="s">
        <v>3510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1358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1930</v>
      </c>
      <c r="C1703" s="838" t="s">
        <v>3510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1644</v>
      </c>
      <c r="I1703" s="1231" t="s">
        <v>1733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1929</v>
      </c>
      <c r="C1704" s="838" t="s">
        <v>3510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3365</v>
      </c>
      <c r="I1704" s="1231" t="s">
        <v>1574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1358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1928</v>
      </c>
      <c r="C1705" s="838" t="s">
        <v>3510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1644</v>
      </c>
      <c r="I1705" s="1231" t="s">
        <v>1695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1927</v>
      </c>
      <c r="C1706" s="838" t="s">
        <v>3510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1644</v>
      </c>
      <c r="I1706" s="1231" t="s">
        <v>1693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1926</v>
      </c>
      <c r="C1707" s="838" t="s">
        <v>3510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1925</v>
      </c>
      <c r="C1708" s="838" t="s">
        <v>3510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1644</v>
      </c>
      <c r="I1708" s="1231" t="s">
        <v>1693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2063</v>
      </c>
      <c r="C1709" s="838" t="s">
        <v>3510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1644</v>
      </c>
      <c r="I1709" s="1231" t="s">
        <v>1734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2062</v>
      </c>
      <c r="C1710" s="838" t="s">
        <v>3510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1644</v>
      </c>
      <c r="I1710" s="1231" t="s">
        <v>1734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2061</v>
      </c>
      <c r="C1711" s="838" t="s">
        <v>3510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1644</v>
      </c>
      <c r="I1711" s="1231" t="s">
        <v>1540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2060</v>
      </c>
      <c r="C1712" s="838" t="s">
        <v>3510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1644</v>
      </c>
      <c r="I1712" s="1231" t="s">
        <v>1735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2059</v>
      </c>
      <c r="C1713" s="838" t="s">
        <v>3510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1644</v>
      </c>
      <c r="I1713" s="1231" t="s">
        <v>1769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2058</v>
      </c>
      <c r="C1714" s="838" t="s">
        <v>3510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1644</v>
      </c>
      <c r="I1714" s="1231" t="s">
        <v>1540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2057</v>
      </c>
      <c r="C1715" s="838" t="s">
        <v>3510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1644</v>
      </c>
      <c r="I1715" s="1231" t="s">
        <v>1693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2056</v>
      </c>
      <c r="C1716" s="838" t="s">
        <v>3510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1644</v>
      </c>
      <c r="I1716" s="1231" t="s">
        <v>1734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2055</v>
      </c>
      <c r="C1717" s="838" t="s">
        <v>3510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1644</v>
      </c>
      <c r="I1717" s="1231" t="s">
        <v>1693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2054</v>
      </c>
      <c r="C1718" s="838" t="s">
        <v>3510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1644</v>
      </c>
      <c r="I1718" s="1231" t="s">
        <v>1734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2053</v>
      </c>
      <c r="C1719" s="838" t="s">
        <v>3510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1644</v>
      </c>
      <c r="I1719" s="1231" t="s">
        <v>1769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2052</v>
      </c>
      <c r="C1720" s="838" t="s">
        <v>3510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2051</v>
      </c>
      <c r="C1721" s="838" t="s">
        <v>3510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1644</v>
      </c>
      <c r="I1721" s="1231" t="s">
        <v>1695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2050</v>
      </c>
      <c r="C1722" s="838" t="s">
        <v>3510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1644</v>
      </c>
      <c r="I1722" s="1231" t="s">
        <v>1695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2049</v>
      </c>
      <c r="C1723" s="838" t="s">
        <v>3510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1644</v>
      </c>
      <c r="I1723" s="1231" t="s">
        <v>1540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2048</v>
      </c>
      <c r="C1724" s="838" t="s">
        <v>3510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1644</v>
      </c>
      <c r="I1724" s="1231" t="s">
        <v>1734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2047</v>
      </c>
      <c r="C1725" s="838" t="s">
        <v>3510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1644</v>
      </c>
      <c r="I1725" s="1231" t="s">
        <v>1643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2046</v>
      </c>
      <c r="C1726" s="838" t="s">
        <v>3510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1644</v>
      </c>
      <c r="I1726" s="1231" t="s">
        <v>1735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2045</v>
      </c>
      <c r="C1727" s="838" t="s">
        <v>3510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1818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2044</v>
      </c>
      <c r="C1728" s="838" t="s">
        <v>3510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1644</v>
      </c>
      <c r="I1728" s="1231" t="s">
        <v>1693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2043</v>
      </c>
      <c r="C1729" s="838" t="s">
        <v>3510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1644</v>
      </c>
      <c r="I1729" s="1231" t="s">
        <v>1540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2042</v>
      </c>
      <c r="C1730" s="838" t="s">
        <v>3510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1644</v>
      </c>
      <c r="I1730" s="1231" t="s">
        <v>1769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2041</v>
      </c>
      <c r="C1731" s="838" t="s">
        <v>3510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2040</v>
      </c>
      <c r="C1732" s="838" t="s">
        <v>3510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1818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2039</v>
      </c>
      <c r="C1733" s="838" t="s">
        <v>3510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1644</v>
      </c>
      <c r="I1733" s="1231" t="s">
        <v>1643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2038</v>
      </c>
      <c r="C1734" s="838" t="s">
        <v>3510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1818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2037</v>
      </c>
      <c r="C1735" s="838" t="s">
        <v>3510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1644</v>
      </c>
      <c r="I1735" s="1231" t="s">
        <v>1540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2036</v>
      </c>
      <c r="C1736" s="838" t="s">
        <v>3510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1644</v>
      </c>
      <c r="I1736" s="1231" t="s">
        <v>1734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2035</v>
      </c>
      <c r="C1737" s="838" t="s">
        <v>3510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1644</v>
      </c>
      <c r="I1737" s="1231" t="s">
        <v>1540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2034</v>
      </c>
      <c r="C1738" s="838" t="s">
        <v>3510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1644</v>
      </c>
      <c r="I1738" s="1231" t="s">
        <v>1693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2033</v>
      </c>
      <c r="C1739" s="838" t="s">
        <v>3510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1644</v>
      </c>
      <c r="I1739" s="1231" t="s">
        <v>1734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2032</v>
      </c>
      <c r="C1740" s="838" t="s">
        <v>3510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1644</v>
      </c>
      <c r="I1740" s="1231" t="s">
        <v>1643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2031</v>
      </c>
      <c r="C1741" s="838" t="s">
        <v>3510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3365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2030</v>
      </c>
      <c r="C1742" s="838" t="s">
        <v>3510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1818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2029</v>
      </c>
      <c r="C1743" s="838" t="s">
        <v>3510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1644</v>
      </c>
      <c r="I1743" s="1231" t="s">
        <v>1540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2028</v>
      </c>
      <c r="C1744" s="838" t="s">
        <v>3510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1644</v>
      </c>
      <c r="I1744" s="1231" t="s">
        <v>1734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2027</v>
      </c>
      <c r="C1745" s="838" t="s">
        <v>3510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1818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2026</v>
      </c>
      <c r="C1746" s="838" t="s">
        <v>3510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1644</v>
      </c>
      <c r="I1746" s="1231" t="s">
        <v>1693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2025</v>
      </c>
      <c r="C1747" s="838" t="s">
        <v>3510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1644</v>
      </c>
      <c r="I1747" s="1231" t="s">
        <v>1540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2024</v>
      </c>
      <c r="C1748" s="838" t="s">
        <v>3510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2024</v>
      </c>
      <c r="C1749" s="838" t="s">
        <v>3510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1644</v>
      </c>
      <c r="I1749" s="1231" t="s">
        <v>1643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2023</v>
      </c>
      <c r="C1750" s="838" t="s">
        <v>3510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1818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2022</v>
      </c>
      <c r="C1751" s="838" t="s">
        <v>3510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2021</v>
      </c>
      <c r="C1752" s="838" t="s">
        <v>3510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1644</v>
      </c>
      <c r="I1752" s="1231" t="s">
        <v>1540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2020</v>
      </c>
      <c r="C1753" s="838" t="s">
        <v>3510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3365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2019</v>
      </c>
      <c r="C1754" s="838" t="s">
        <v>3510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1644</v>
      </c>
      <c r="I1754" s="1231" t="s">
        <v>1540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2019</v>
      </c>
      <c r="C1755" s="838" t="s">
        <v>3510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1818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2018</v>
      </c>
      <c r="C1756" s="838" t="s">
        <v>3510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2017</v>
      </c>
      <c r="C1757" s="838" t="s">
        <v>3510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1358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2016</v>
      </c>
      <c r="C1758" s="838" t="s">
        <v>3510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1358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2015</v>
      </c>
      <c r="C1759" s="838" t="s">
        <v>3510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1644</v>
      </c>
      <c r="I1759" s="1231" t="s">
        <v>1733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2014</v>
      </c>
      <c r="C1760" s="838" t="s">
        <v>3510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1644</v>
      </c>
      <c r="I1760" s="1231" t="s">
        <v>1751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2013</v>
      </c>
      <c r="C1761" s="838" t="s">
        <v>3510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1644</v>
      </c>
      <c r="I1761" s="1231" t="s">
        <v>1695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2013</v>
      </c>
      <c r="C1762" s="838" t="s">
        <v>3510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1644</v>
      </c>
      <c r="I1762" s="1231" t="s">
        <v>1751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2013</v>
      </c>
      <c r="C1763" s="838" t="s">
        <v>3510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2064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2012</v>
      </c>
      <c r="C1764" s="838" t="s">
        <v>3510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1818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2011</v>
      </c>
      <c r="C1765" s="838" t="s">
        <v>3510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1644</v>
      </c>
      <c r="I1765" s="1231" t="s">
        <v>1693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2010</v>
      </c>
      <c r="C1766" s="838" t="s">
        <v>3510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1644</v>
      </c>
      <c r="I1766" s="1231" t="s">
        <v>1734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2009</v>
      </c>
      <c r="C1767" s="838" t="s">
        <v>3510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1644</v>
      </c>
      <c r="I1767" s="1231" t="s">
        <v>1694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2009</v>
      </c>
      <c r="C1768" s="838" t="s">
        <v>3510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1644</v>
      </c>
      <c r="I1768" s="1231" t="s">
        <v>1540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2008</v>
      </c>
      <c r="C1769" s="838" t="s">
        <v>3510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1644</v>
      </c>
      <c r="I1769" s="1231" t="s">
        <v>1695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2007</v>
      </c>
      <c r="C1770" s="838" t="s">
        <v>3510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2075</v>
      </c>
      <c r="C1771" s="838" t="s">
        <v>3510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2074</v>
      </c>
      <c r="C1772" s="838" t="s">
        <v>3510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1644</v>
      </c>
      <c r="I1772" s="1231" t="s">
        <v>1694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2073</v>
      </c>
      <c r="C1773" s="838" t="s">
        <v>3510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1644</v>
      </c>
      <c r="I1773" s="1231" t="s">
        <v>1540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1902</v>
      </c>
      <c r="C1774" s="838" t="s">
        <v>3510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1818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2072</v>
      </c>
      <c r="C1775" s="838" t="s">
        <v>3510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1644</v>
      </c>
      <c r="I1775" s="1231" t="s">
        <v>1641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2071</v>
      </c>
      <c r="C1776" s="838" t="s">
        <v>3510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1644</v>
      </c>
      <c r="I1776" s="1231" t="s">
        <v>1693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2070</v>
      </c>
      <c r="C1777" s="838" t="s">
        <v>3510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2069</v>
      </c>
      <c r="C1778" s="838" t="s">
        <v>3510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1644</v>
      </c>
      <c r="I1778" s="1231" t="s">
        <v>1693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2068</v>
      </c>
      <c r="C1779" s="838" t="s">
        <v>3510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2067</v>
      </c>
      <c r="C1780" s="838" t="s">
        <v>3510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2066</v>
      </c>
      <c r="C1781" s="838" t="s">
        <v>3510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1644</v>
      </c>
      <c r="I1781" s="1231" t="s">
        <v>1733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2065</v>
      </c>
      <c r="C1782" s="838" t="s">
        <v>3510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1644</v>
      </c>
      <c r="I1782" s="1231" t="s">
        <v>1733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2083</v>
      </c>
      <c r="C1783" s="838" t="s">
        <v>3510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1644</v>
      </c>
      <c r="I1783" s="1231" t="s">
        <v>1693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2082</v>
      </c>
      <c r="C1784" s="838" t="s">
        <v>3510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1644</v>
      </c>
      <c r="I1784" s="1231" t="s">
        <v>1540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2081</v>
      </c>
      <c r="C1785" s="838" t="s">
        <v>3510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1644</v>
      </c>
      <c r="I1785" s="1231" t="s">
        <v>1693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2080</v>
      </c>
      <c r="C1786" s="838" t="s">
        <v>3510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1644</v>
      </c>
      <c r="I1786" s="1231" t="s">
        <v>1734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2079</v>
      </c>
      <c r="C1787" s="838" t="s">
        <v>3510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1818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2078</v>
      </c>
      <c r="C1788" s="838" t="s">
        <v>3510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3365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2077</v>
      </c>
      <c r="C1789" s="838" t="s">
        <v>3510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1818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2076</v>
      </c>
      <c r="C1790" s="838" t="s">
        <v>3510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1644</v>
      </c>
      <c r="I1790" s="1231" t="s">
        <v>1734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2086</v>
      </c>
      <c r="C1791" s="838" t="s">
        <v>3510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1644</v>
      </c>
      <c r="I1791" s="1231" t="s">
        <v>1540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2085</v>
      </c>
      <c r="C1792" s="838" t="s">
        <v>3510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1644</v>
      </c>
      <c r="I1792" s="1231" t="s">
        <v>1540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2084</v>
      </c>
      <c r="C1793" s="838" t="s">
        <v>3510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1644</v>
      </c>
      <c r="I1793" s="1231" t="s">
        <v>1751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2088</v>
      </c>
      <c r="C1794" s="838" t="s">
        <v>3510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3365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2087</v>
      </c>
      <c r="C1795" s="838" t="s">
        <v>3510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1644</v>
      </c>
      <c r="I1795" s="1231" t="s">
        <v>1693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2121</v>
      </c>
      <c r="C1796" s="838" t="s">
        <v>3510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2122</v>
      </c>
      <c r="I1796" s="1231" t="s">
        <v>1769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2120</v>
      </c>
      <c r="C1797" s="838" t="s">
        <v>3510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2122</v>
      </c>
      <c r="I1797" s="1231" t="s">
        <v>1769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2119</v>
      </c>
      <c r="C1798" s="838" t="s">
        <v>3510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2122</v>
      </c>
      <c r="I1798" s="1231" t="s">
        <v>1769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2118</v>
      </c>
      <c r="C1799" s="838" t="s">
        <v>3510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2122</v>
      </c>
      <c r="I1799" s="1231" t="s">
        <v>1769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2117</v>
      </c>
      <c r="C1800" s="838" t="s">
        <v>3510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2122</v>
      </c>
      <c r="I1800" s="1231" t="s">
        <v>1769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2116</v>
      </c>
      <c r="C1801" s="838" t="s">
        <v>3510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2122</v>
      </c>
      <c r="I1801" s="1231" t="s">
        <v>1769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2115</v>
      </c>
      <c r="C1802" s="838" t="s">
        <v>3510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2122</v>
      </c>
      <c r="I1802" s="1231" t="s">
        <v>2123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2114</v>
      </c>
      <c r="C1803" s="838" t="s">
        <v>3510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1644</v>
      </c>
      <c r="I1803" s="1231" t="s">
        <v>1693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2113</v>
      </c>
      <c r="C1804" s="838" t="s">
        <v>3510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2122</v>
      </c>
      <c r="I1804" s="1231" t="s">
        <v>2123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2112</v>
      </c>
      <c r="C1805" s="838" t="s">
        <v>3510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1644</v>
      </c>
      <c r="I1805" s="1231" t="s">
        <v>1540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2111</v>
      </c>
      <c r="C1806" s="838" t="s">
        <v>3510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2122</v>
      </c>
      <c r="I1806" s="1231" t="s">
        <v>1769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2110</v>
      </c>
      <c r="C1807" s="838" t="s">
        <v>3510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2109</v>
      </c>
      <c r="C1808" s="838" t="s">
        <v>3510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1644</v>
      </c>
      <c r="I1808" s="1231" t="s">
        <v>1641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2108</v>
      </c>
      <c r="C1809" s="838" t="s">
        <v>3510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2122</v>
      </c>
      <c r="I1809" s="1231" t="s">
        <v>2123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2107</v>
      </c>
      <c r="C1810" s="838" t="s">
        <v>3510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1644</v>
      </c>
      <c r="I1810" s="1231" t="s">
        <v>1540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2106</v>
      </c>
      <c r="C1811" s="838" t="s">
        <v>3510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2105</v>
      </c>
      <c r="C1812" s="838" t="s">
        <v>3510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1644</v>
      </c>
      <c r="I1812" s="1231" t="s">
        <v>1540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2104</v>
      </c>
      <c r="C1813" s="838" t="s">
        <v>3510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1644</v>
      </c>
      <c r="I1813" s="1231" t="s">
        <v>1540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2103</v>
      </c>
      <c r="C1814" s="838" t="s">
        <v>3510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2102</v>
      </c>
      <c r="C1815" s="838" t="s">
        <v>3510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2122</v>
      </c>
      <c r="I1815" s="1231" t="s">
        <v>1769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2101</v>
      </c>
      <c r="C1816" s="838" t="s">
        <v>3510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1644</v>
      </c>
      <c r="I1816" s="1231" t="s">
        <v>1769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2100</v>
      </c>
      <c r="C1817" s="838" t="s">
        <v>3510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1644</v>
      </c>
      <c r="I1817" s="1231" t="s">
        <v>1540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2099</v>
      </c>
      <c r="C1818" s="838" t="s">
        <v>3510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1644</v>
      </c>
      <c r="I1818" s="1231" t="s">
        <v>1735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2098</v>
      </c>
      <c r="C1819" s="838" t="s">
        <v>3510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1644</v>
      </c>
      <c r="I1819" s="1231" t="s">
        <v>1693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1876</v>
      </c>
      <c r="C1820" s="838" t="s">
        <v>3510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1644</v>
      </c>
      <c r="I1820" s="1231" t="s">
        <v>1694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2097</v>
      </c>
      <c r="C1821" s="838" t="s">
        <v>3510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2096</v>
      </c>
      <c r="C1822" s="838" t="s">
        <v>3510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1644</v>
      </c>
      <c r="I1822" s="1231" t="s">
        <v>1693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2095</v>
      </c>
      <c r="C1823" s="838" t="s">
        <v>3510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1644</v>
      </c>
      <c r="I1823" s="1231" t="s">
        <v>1751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2094</v>
      </c>
      <c r="C1824" s="838" t="s">
        <v>3510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1644</v>
      </c>
      <c r="I1824" s="1231" t="s">
        <v>1693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2093</v>
      </c>
      <c r="C1825" s="838" t="s">
        <v>3510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1644</v>
      </c>
      <c r="I1825" s="1231" t="s">
        <v>1734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2092</v>
      </c>
      <c r="C1826" s="838" t="s">
        <v>3510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3365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2124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2091</v>
      </c>
      <c r="C1827" s="838" t="s">
        <v>3510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1644</v>
      </c>
      <c r="I1827" s="1231" t="s">
        <v>1641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1873</v>
      </c>
      <c r="C1828" s="838" t="s">
        <v>3510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1644</v>
      </c>
      <c r="I1828" s="1231" t="s">
        <v>1695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1873</v>
      </c>
      <c r="C1829" s="838" t="s">
        <v>3510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2122</v>
      </c>
      <c r="I1829" s="1231" t="s">
        <v>2125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1873</v>
      </c>
      <c r="C1830" s="838" t="s">
        <v>3510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2090</v>
      </c>
      <c r="C1831" s="838" t="s">
        <v>3510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1644</v>
      </c>
      <c r="I1831" s="1231" t="s">
        <v>1693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2089</v>
      </c>
      <c r="C1832" s="838" t="s">
        <v>3510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3365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2126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2201</v>
      </c>
      <c r="C1833" s="838" t="s">
        <v>3510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2122</v>
      </c>
      <c r="I1833" s="1231" t="s">
        <v>2123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2200</v>
      </c>
      <c r="C1834" s="838" t="s">
        <v>3510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1644</v>
      </c>
      <c r="I1834" s="1231" t="s">
        <v>1540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2199</v>
      </c>
      <c r="C1835" s="838" t="s">
        <v>3510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2122</v>
      </c>
      <c r="I1835" s="1231" t="s">
        <v>1769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2198</v>
      </c>
      <c r="C1836" s="838" t="s">
        <v>3510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2122</v>
      </c>
      <c r="I1836" s="1231" t="s">
        <v>1769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2197</v>
      </c>
      <c r="C1837" s="838" t="s">
        <v>3510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2122</v>
      </c>
      <c r="I1837" s="1231" t="s">
        <v>1769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2196</v>
      </c>
      <c r="C1838" s="838" t="s">
        <v>3510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2195</v>
      </c>
      <c r="C1839" s="838" t="s">
        <v>3510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2194</v>
      </c>
      <c r="C1840" s="838" t="s">
        <v>3510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2122</v>
      </c>
      <c r="I1840" s="1231" t="s">
        <v>1769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2193</v>
      </c>
      <c r="C1841" s="838" t="s">
        <v>3510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2192</v>
      </c>
      <c r="C1842" s="838" t="s">
        <v>3510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2122</v>
      </c>
      <c r="I1842" s="1231" t="s">
        <v>1769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2191</v>
      </c>
      <c r="C1843" s="838" t="s">
        <v>3510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2122</v>
      </c>
      <c r="I1843" s="1231" t="s">
        <v>2123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2190</v>
      </c>
      <c r="C1844" s="838" t="s">
        <v>3510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1644</v>
      </c>
      <c r="I1844" s="1231" t="s">
        <v>1641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2189</v>
      </c>
      <c r="C1845" s="838" t="s">
        <v>3510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1644</v>
      </c>
      <c r="I1845" s="1231" t="s">
        <v>1540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2188</v>
      </c>
      <c r="C1846" s="838" t="s">
        <v>3510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1644</v>
      </c>
      <c r="I1846" s="1231" t="s">
        <v>1769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2187</v>
      </c>
      <c r="C1847" s="838" t="s">
        <v>3510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2122</v>
      </c>
      <c r="I1847" s="1231" t="s">
        <v>1769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2186</v>
      </c>
      <c r="C1848" s="838" t="s">
        <v>3510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2122</v>
      </c>
      <c r="I1848" s="1231" t="s">
        <v>1769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2185</v>
      </c>
      <c r="C1849" s="838" t="s">
        <v>3510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1644</v>
      </c>
      <c r="I1849" s="1231" t="s">
        <v>1641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2184</v>
      </c>
      <c r="C1850" s="838" t="s">
        <v>3510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1644</v>
      </c>
      <c r="I1850" s="1231" t="s">
        <v>1693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2183</v>
      </c>
      <c r="C1851" s="838" t="s">
        <v>3510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2122</v>
      </c>
      <c r="I1851" s="1231" t="s">
        <v>2123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2182</v>
      </c>
      <c r="C1852" s="838" t="s">
        <v>3510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1644</v>
      </c>
      <c r="I1852" s="1231" t="s">
        <v>1694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2181</v>
      </c>
      <c r="C1853" s="838" t="s">
        <v>3510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2122</v>
      </c>
      <c r="I1853" s="1231" t="s">
        <v>1769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2180</v>
      </c>
      <c r="C1854" s="838" t="s">
        <v>3510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1644</v>
      </c>
      <c r="I1854" s="1231" t="s">
        <v>1734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2179</v>
      </c>
      <c r="C1855" s="838" t="s">
        <v>3510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2179</v>
      </c>
      <c r="C1856" s="838" t="s">
        <v>3510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1644</v>
      </c>
      <c r="I1856" s="1231" t="s">
        <v>1643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2178</v>
      </c>
      <c r="C1857" s="838" t="s">
        <v>3510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1644</v>
      </c>
      <c r="I1857" s="1231" t="s">
        <v>1641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2176</v>
      </c>
      <c r="C1858" s="838" t="s">
        <v>3510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1644</v>
      </c>
      <c r="I1858" s="1231" t="s">
        <v>1696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2177</v>
      </c>
      <c r="C1859" s="838" t="s">
        <v>3510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2122</v>
      </c>
      <c r="I1859" s="1231" t="s">
        <v>2123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2175</v>
      </c>
      <c r="C1860" s="838" t="s">
        <v>3510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2174</v>
      </c>
      <c r="C1861" s="838" t="s">
        <v>3510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1644</v>
      </c>
      <c r="I1861" s="1231" t="s">
        <v>1734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2173</v>
      </c>
      <c r="C1862" s="838" t="s">
        <v>3510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2122</v>
      </c>
      <c r="I1862" s="1231" t="s">
        <v>1769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2172</v>
      </c>
      <c r="C1863" s="838" t="s">
        <v>3510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1644</v>
      </c>
      <c r="I1863" s="1231" t="s">
        <v>1734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2171</v>
      </c>
      <c r="C1864" s="838" t="s">
        <v>3510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2122</v>
      </c>
      <c r="I1864" s="1231" t="s">
        <v>1769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2170</v>
      </c>
      <c r="C1865" s="838" t="s">
        <v>3510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1644</v>
      </c>
      <c r="I1865" s="1231" t="s">
        <v>1769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2169</v>
      </c>
      <c r="C1866" s="838" t="s">
        <v>3510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2122</v>
      </c>
      <c r="I1866" s="1231" t="s">
        <v>1769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2168</v>
      </c>
      <c r="C1867" s="838" t="s">
        <v>3510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2122</v>
      </c>
      <c r="I1867" s="1231" t="s">
        <v>1769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2167</v>
      </c>
      <c r="C1868" s="838" t="s">
        <v>3510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1537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2166</v>
      </c>
      <c r="C1869" s="838" t="s">
        <v>3510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1869</v>
      </c>
      <c r="C1870" s="838" t="s">
        <v>3510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1537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1869</v>
      </c>
      <c r="C1871" s="838" t="s">
        <v>3510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3365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2165</v>
      </c>
      <c r="C1872" s="838" t="s">
        <v>3510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1644</v>
      </c>
      <c r="I1872" s="1231" t="s">
        <v>1733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2164</v>
      </c>
      <c r="C1873" s="838" t="s">
        <v>3510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1644</v>
      </c>
      <c r="I1873" s="1231" t="s">
        <v>1641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2163</v>
      </c>
      <c r="C1874" s="838" t="s">
        <v>3510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2162</v>
      </c>
      <c r="C1875" s="838" t="s">
        <v>3510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1644</v>
      </c>
      <c r="I1875" s="1231" t="s">
        <v>1734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1868</v>
      </c>
      <c r="C1876" s="838" t="s">
        <v>3510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2122</v>
      </c>
      <c r="I1876" s="1231" t="s">
        <v>1769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2161</v>
      </c>
      <c r="C1877" s="838" t="s">
        <v>3510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2160</v>
      </c>
      <c r="C1878" s="838" t="s">
        <v>3510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3365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2159</v>
      </c>
      <c r="C1879" s="838" t="s">
        <v>3510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2122</v>
      </c>
      <c r="I1879" s="1231" t="s">
        <v>1769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2158</v>
      </c>
      <c r="C1880" s="838" t="s">
        <v>3510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1644</v>
      </c>
      <c r="I1880" s="1231" t="s">
        <v>1540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2157</v>
      </c>
      <c r="C1881" s="838" t="s">
        <v>3510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2122</v>
      </c>
      <c r="I1881" s="1231" t="s">
        <v>1769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2156</v>
      </c>
      <c r="C1882" s="838" t="s">
        <v>3510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2122</v>
      </c>
      <c r="I1882" s="1231" t="s">
        <v>1769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2155</v>
      </c>
      <c r="C1883" s="838" t="s">
        <v>3510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1644</v>
      </c>
      <c r="I1883" s="1231" t="s">
        <v>1693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2154</v>
      </c>
      <c r="C1884" s="838" t="s">
        <v>3510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1644</v>
      </c>
      <c r="I1884" s="1231" t="s">
        <v>1693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2153</v>
      </c>
      <c r="C1885" s="838" t="s">
        <v>3510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2122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2152</v>
      </c>
      <c r="C1886" s="838" t="s">
        <v>3510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2122</v>
      </c>
      <c r="I1886" s="1231" t="s">
        <v>2123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2151</v>
      </c>
      <c r="C1887" s="838" t="s">
        <v>3510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1644</v>
      </c>
      <c r="I1887" s="1231" t="s">
        <v>1643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2150</v>
      </c>
      <c r="C1888" s="838" t="s">
        <v>3510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2122</v>
      </c>
      <c r="I1888" s="1231" t="s">
        <v>2123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2149</v>
      </c>
      <c r="C1889" s="838" t="s">
        <v>3510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2122</v>
      </c>
      <c r="I1889" s="1231" t="s">
        <v>2123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2148</v>
      </c>
      <c r="C1890" s="838" t="s">
        <v>3510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1644</v>
      </c>
      <c r="I1890" s="1231" t="s">
        <v>1693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2147</v>
      </c>
      <c r="C1891" s="838" t="s">
        <v>3510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1644</v>
      </c>
      <c r="I1891" s="1231" t="s">
        <v>1696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2146</v>
      </c>
      <c r="C1892" s="838" t="s">
        <v>3510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2122</v>
      </c>
      <c r="I1892" s="1231" t="s">
        <v>2123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2145</v>
      </c>
      <c r="C1893" s="838" t="s">
        <v>3510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1644</v>
      </c>
      <c r="I1893" s="1231" t="s">
        <v>1641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2144</v>
      </c>
      <c r="C1894" s="838" t="s">
        <v>3510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2143</v>
      </c>
      <c r="C1895" s="838" t="s">
        <v>3510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2122</v>
      </c>
      <c r="I1895" s="1231" t="s">
        <v>2123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2142</v>
      </c>
      <c r="C1896" s="838" t="s">
        <v>3510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1644</v>
      </c>
      <c r="I1896" s="1231" t="s">
        <v>1734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2141</v>
      </c>
      <c r="C1897" s="838" t="s">
        <v>3510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1644</v>
      </c>
      <c r="I1897" s="1231" t="s">
        <v>1540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2140</v>
      </c>
      <c r="C1898" s="838" t="s">
        <v>3510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1644</v>
      </c>
      <c r="I1898" s="1231" t="s">
        <v>1693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2139</v>
      </c>
      <c r="C1899" s="838" t="s">
        <v>3510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1644</v>
      </c>
      <c r="I1899" s="1231" t="s">
        <v>1733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2138</v>
      </c>
      <c r="C1900" s="838" t="s">
        <v>3510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2122</v>
      </c>
      <c r="I1900" s="1231" t="s">
        <v>2123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2137</v>
      </c>
      <c r="C1901" s="838" t="s">
        <v>3510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1644</v>
      </c>
      <c r="I1901" s="1231" t="s">
        <v>1540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2136</v>
      </c>
      <c r="C1902" s="838" t="s">
        <v>3510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1644</v>
      </c>
      <c r="I1902" s="1231" t="s">
        <v>1540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2135</v>
      </c>
      <c r="C1903" s="838" t="s">
        <v>3510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1644</v>
      </c>
      <c r="I1903" s="1231" t="s">
        <v>1693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2134</v>
      </c>
      <c r="C1904" s="838" t="s">
        <v>3510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2122</v>
      </c>
      <c r="I1904" s="1231" t="s">
        <v>1769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2133</v>
      </c>
      <c r="C1905" s="838" t="s">
        <v>3510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1644</v>
      </c>
      <c r="I1905" s="1231" t="s">
        <v>1693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1866</v>
      </c>
      <c r="C1906" s="838" t="s">
        <v>3510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1644</v>
      </c>
      <c r="I1906" s="1231" t="s">
        <v>2202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2132</v>
      </c>
      <c r="C1907" s="838" t="s">
        <v>3510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1644</v>
      </c>
      <c r="I1907" s="1231" t="s">
        <v>1693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2131</v>
      </c>
      <c r="C1908" s="838" t="s">
        <v>3510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1644</v>
      </c>
      <c r="I1908" s="1231" t="s">
        <v>2202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2130</v>
      </c>
      <c r="C1909" s="838" t="s">
        <v>3510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2130</v>
      </c>
      <c r="C1910" s="838" t="s">
        <v>3510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1644</v>
      </c>
      <c r="I1910" s="1231" t="s">
        <v>2202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2129</v>
      </c>
      <c r="C1911" s="838" t="s">
        <v>3510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1644</v>
      </c>
      <c r="I1911" s="1231" t="s">
        <v>2202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2128</v>
      </c>
      <c r="C1912" s="838" t="s">
        <v>3510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1644</v>
      </c>
      <c r="I1912" s="1231" t="s">
        <v>1694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2127</v>
      </c>
      <c r="C1913" s="838" t="s">
        <v>3510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2122</v>
      </c>
      <c r="I1913" s="1231" t="s">
        <v>1769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2271</v>
      </c>
      <c r="C1914" s="838" t="s">
        <v>3510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2122</v>
      </c>
      <c r="I1914" s="1231" t="s">
        <v>2123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2270</v>
      </c>
      <c r="C1915" s="838" t="s">
        <v>3510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1644</v>
      </c>
      <c r="I1915" s="1231" t="s">
        <v>2202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2269</v>
      </c>
      <c r="C1916" s="838" t="s">
        <v>3510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1644</v>
      </c>
      <c r="I1916" s="1231" t="s">
        <v>2202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2268</v>
      </c>
      <c r="C1917" s="838" t="s">
        <v>3510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1644</v>
      </c>
      <c r="I1917" s="1231" t="s">
        <v>1733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2267</v>
      </c>
      <c r="C1918" s="838" t="s">
        <v>3510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1644</v>
      </c>
      <c r="I1918" s="1231" t="s">
        <v>1693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2266</v>
      </c>
      <c r="C1919" s="838" t="s">
        <v>3510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1644</v>
      </c>
      <c r="I1919" s="1231" t="s">
        <v>2202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2265</v>
      </c>
      <c r="C1920" s="838" t="s">
        <v>3510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1644</v>
      </c>
      <c r="I1920" s="1231" t="s">
        <v>1540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2264</v>
      </c>
      <c r="C1921" s="838" t="s">
        <v>3510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1644</v>
      </c>
      <c r="I1921" s="1231" t="s">
        <v>1540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2263</v>
      </c>
      <c r="C1922" s="838" t="s">
        <v>3510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2122</v>
      </c>
      <c r="I1922" s="1231" t="s">
        <v>2125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2262</v>
      </c>
      <c r="C1923" s="838" t="s">
        <v>3510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2122</v>
      </c>
      <c r="I1923" s="1231" t="s">
        <v>2123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2261</v>
      </c>
      <c r="C1924" s="838" t="s">
        <v>3510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1644</v>
      </c>
      <c r="I1924" s="1231" t="s">
        <v>1734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2260</v>
      </c>
      <c r="C1925" s="838" t="s">
        <v>3510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2122</v>
      </c>
      <c r="I1925" s="1231" t="s">
        <v>2123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2259</v>
      </c>
      <c r="C1926" s="838" t="s">
        <v>3510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1644</v>
      </c>
      <c r="I1926" s="1231" t="s">
        <v>1734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2258</v>
      </c>
      <c r="C1927" s="838" t="s">
        <v>3510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2122</v>
      </c>
      <c r="I1927" s="1231" t="s">
        <v>1769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2257</v>
      </c>
      <c r="C1928" s="838" t="s">
        <v>3510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2122</v>
      </c>
      <c r="I1928" s="1231" t="s">
        <v>2123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2256</v>
      </c>
      <c r="C1929" s="838" t="s">
        <v>3510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1644</v>
      </c>
      <c r="I1929" s="1231" t="s">
        <v>1734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2255</v>
      </c>
      <c r="C1930" s="838" t="s">
        <v>3510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1644</v>
      </c>
      <c r="I1930" s="1231" t="s">
        <v>2202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2254</v>
      </c>
      <c r="C1931" s="838" t="s">
        <v>3510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1644</v>
      </c>
      <c r="I1931" s="1231" t="s">
        <v>1540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2253</v>
      </c>
      <c r="C1932" s="838" t="s">
        <v>3510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1644</v>
      </c>
      <c r="I1932" s="1231" t="s">
        <v>2202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2252</v>
      </c>
      <c r="C1933" s="838" t="s">
        <v>3510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1644</v>
      </c>
      <c r="I1933" s="1231" t="s">
        <v>1735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2251</v>
      </c>
      <c r="C1934" s="838" t="s">
        <v>3510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2122</v>
      </c>
      <c r="I1934" s="1231" t="s">
        <v>1769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2250</v>
      </c>
      <c r="C1935" s="838" t="s">
        <v>3510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1644</v>
      </c>
      <c r="I1935" s="1231" t="s">
        <v>1693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2249</v>
      </c>
      <c r="C1936" s="838" t="s">
        <v>3510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1644</v>
      </c>
      <c r="I1936" s="1231" t="s">
        <v>1693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2248</v>
      </c>
      <c r="C1937" s="838" t="s">
        <v>3510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1644</v>
      </c>
      <c r="I1937" s="1231" t="s">
        <v>2202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2247</v>
      </c>
      <c r="C1938" s="838" t="s">
        <v>3510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1644</v>
      </c>
      <c r="I1938" s="1231" t="s">
        <v>1693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2246</v>
      </c>
      <c r="C1939" s="838" t="s">
        <v>3510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1644</v>
      </c>
      <c r="I1939" s="1231" t="s">
        <v>1751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2245</v>
      </c>
      <c r="C1940" s="838" t="s">
        <v>3510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1644</v>
      </c>
      <c r="I1940" s="1231" t="s">
        <v>1540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2244</v>
      </c>
      <c r="C1941" s="838" t="s">
        <v>3510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1644</v>
      </c>
      <c r="I1941" s="1231" t="s">
        <v>1643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2243</v>
      </c>
      <c r="C1942" s="838" t="s">
        <v>3510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1644</v>
      </c>
      <c r="I1942" s="1231" t="s">
        <v>1641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2242</v>
      </c>
      <c r="C1943" s="838" t="s">
        <v>3510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2241</v>
      </c>
      <c r="C1944" s="838" t="s">
        <v>3510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2239</v>
      </c>
      <c r="C1945" s="838" t="s">
        <v>3510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1644</v>
      </c>
      <c r="I1945" s="1231" t="s">
        <v>1643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2240</v>
      </c>
      <c r="C1946" s="838" t="s">
        <v>3510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1644</v>
      </c>
      <c r="I1946" s="1231" t="s">
        <v>1641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2238</v>
      </c>
      <c r="C1947" s="838" t="s">
        <v>3510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1644</v>
      </c>
      <c r="I1947" s="1231" t="s">
        <v>1769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1862</v>
      </c>
      <c r="C1948" s="838" t="s">
        <v>3510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2122</v>
      </c>
      <c r="I1948" s="1231" t="s">
        <v>1769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1862</v>
      </c>
      <c r="C1949" s="838" t="s">
        <v>3510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1644</v>
      </c>
      <c r="I1949" s="1231" t="s">
        <v>1769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2237</v>
      </c>
      <c r="C1950" s="838" t="s">
        <v>3510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1644</v>
      </c>
      <c r="I1950" s="1231" t="s">
        <v>1540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2236</v>
      </c>
      <c r="C1951" s="838" t="s">
        <v>3510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1644</v>
      </c>
      <c r="I1951" s="1231" t="s">
        <v>1540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2235</v>
      </c>
      <c r="C1952" s="838" t="s">
        <v>3510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1644</v>
      </c>
      <c r="I1952" s="1231" t="s">
        <v>1693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2234</v>
      </c>
      <c r="C1953" s="838" t="s">
        <v>3510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1644</v>
      </c>
      <c r="I1953" s="1231" t="s">
        <v>1540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2233</v>
      </c>
      <c r="C1954" s="838" t="s">
        <v>3510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2122</v>
      </c>
      <c r="I1954" s="1231" t="s">
        <v>2123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2232</v>
      </c>
      <c r="C1955" s="838" t="s">
        <v>3510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1644</v>
      </c>
      <c r="I1955" s="1231" t="s">
        <v>1733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2231</v>
      </c>
      <c r="C1956" s="838" t="s">
        <v>3510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2122</v>
      </c>
      <c r="I1956" s="1231" t="s">
        <v>2123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2230</v>
      </c>
      <c r="C1957" s="838" t="s">
        <v>3510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2122</v>
      </c>
      <c r="I1957" s="1231" t="s">
        <v>2125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2229</v>
      </c>
      <c r="C1958" s="838" t="s">
        <v>3510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2122</v>
      </c>
      <c r="I1958" s="1231" t="s">
        <v>2123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2228</v>
      </c>
      <c r="C1959" s="838" t="s">
        <v>3510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1644</v>
      </c>
      <c r="I1959" s="1231" t="s">
        <v>1540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2227</v>
      </c>
      <c r="C1960" s="838" t="s">
        <v>3510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1644</v>
      </c>
      <c r="I1960" s="1231" t="s">
        <v>1734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2226</v>
      </c>
      <c r="C1961" s="838" t="s">
        <v>3510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1644</v>
      </c>
      <c r="I1961" s="1231" t="s">
        <v>1735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2225</v>
      </c>
      <c r="C1962" s="838" t="s">
        <v>3510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1644</v>
      </c>
      <c r="I1962" s="1231" t="s">
        <v>1540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2224</v>
      </c>
      <c r="C1963" s="838" t="s">
        <v>3510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1644</v>
      </c>
      <c r="I1963" s="1231" t="s">
        <v>1735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2223</v>
      </c>
      <c r="C1964" s="838" t="s">
        <v>3510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2122</v>
      </c>
      <c r="I1964" s="1231" t="s">
        <v>2123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2222</v>
      </c>
      <c r="C1965" s="838" t="s">
        <v>3510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1644</v>
      </c>
      <c r="I1965" s="1231" t="s">
        <v>1540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2221</v>
      </c>
      <c r="C1966" s="838" t="s">
        <v>3510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1644</v>
      </c>
      <c r="I1966" s="1231" t="s">
        <v>1693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2220</v>
      </c>
      <c r="C1967" s="838" t="s">
        <v>3510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2219</v>
      </c>
      <c r="C1968" s="838" t="s">
        <v>3510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1644</v>
      </c>
      <c r="I1968" s="1231" t="s">
        <v>1693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2218</v>
      </c>
      <c r="C1969" s="838" t="s">
        <v>3510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1644</v>
      </c>
      <c r="I1969" s="1231" t="s">
        <v>1540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1854</v>
      </c>
      <c r="C1970" s="838" t="s">
        <v>3510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2122</v>
      </c>
      <c r="I1970" s="1231" t="s">
        <v>1769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1854</v>
      </c>
      <c r="C1971" s="838" t="s">
        <v>3510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1644</v>
      </c>
      <c r="I1971" s="1231" t="s">
        <v>1769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2217</v>
      </c>
      <c r="C1972" s="838" t="s">
        <v>3510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2216</v>
      </c>
      <c r="C1973" s="838" t="s">
        <v>3510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1644</v>
      </c>
      <c r="I1973" s="1231" t="s">
        <v>1641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2215</v>
      </c>
      <c r="C1974" s="838" t="s">
        <v>3510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1644</v>
      </c>
      <c r="I1974" s="1231" t="s">
        <v>1733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2214</v>
      </c>
      <c r="C1975" s="838" t="s">
        <v>3510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1644</v>
      </c>
      <c r="I1975" s="1231" t="s">
        <v>1695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2213</v>
      </c>
      <c r="C1976" s="838" t="s">
        <v>3510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2122</v>
      </c>
      <c r="I1976" s="1231" t="s">
        <v>2123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2212</v>
      </c>
      <c r="C1977" s="838" t="s">
        <v>3510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2122</v>
      </c>
      <c r="I1977" s="1231" t="s">
        <v>1769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2211</v>
      </c>
      <c r="C1978" s="838" t="s">
        <v>3510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1644</v>
      </c>
      <c r="I1978" s="1231" t="s">
        <v>1769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2210</v>
      </c>
      <c r="C1979" s="838" t="s">
        <v>3510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1644</v>
      </c>
      <c r="I1979" s="1231" t="s">
        <v>1733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2209</v>
      </c>
      <c r="C1980" s="838" t="s">
        <v>3510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1644</v>
      </c>
      <c r="I1980" s="1231" t="s">
        <v>2272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2208</v>
      </c>
      <c r="C1981" s="838" t="s">
        <v>3510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2122</v>
      </c>
      <c r="I1981" s="1231" t="s">
        <v>2123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2207</v>
      </c>
      <c r="C1982" s="838" t="s">
        <v>3510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1644</v>
      </c>
      <c r="I1982" s="1231" t="s">
        <v>1693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2206</v>
      </c>
      <c r="C1983" s="838" t="s">
        <v>3510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2205</v>
      </c>
      <c r="C1984" s="838" t="s">
        <v>3510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1644</v>
      </c>
      <c r="I1984" s="1231" t="s">
        <v>1693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2204</v>
      </c>
      <c r="C1985" s="838" t="s">
        <v>3510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2301</v>
      </c>
      <c r="C1986" s="838" t="s">
        <v>3510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2122</v>
      </c>
      <c r="I1986" s="1231" t="s">
        <v>1769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2300</v>
      </c>
      <c r="C1987" s="838" t="s">
        <v>3510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1644</v>
      </c>
      <c r="I1987" s="1231" t="s">
        <v>1693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2299</v>
      </c>
      <c r="C1988" s="838" t="s">
        <v>3510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1644</v>
      </c>
      <c r="I1988" s="1231" t="s">
        <v>1733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2298</v>
      </c>
      <c r="C1989" s="838" t="s">
        <v>3510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2122</v>
      </c>
      <c r="I1989" s="1231" t="s">
        <v>1769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2297</v>
      </c>
      <c r="C1990" s="838" t="s">
        <v>3510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2122</v>
      </c>
      <c r="I1990" s="1231" t="s">
        <v>1769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2296</v>
      </c>
      <c r="C1991" s="838" t="s">
        <v>3510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1644</v>
      </c>
      <c r="I1991" s="1231" t="s">
        <v>1769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2295</v>
      </c>
      <c r="C1992" s="838" t="s">
        <v>3510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2122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2294</v>
      </c>
      <c r="C1993" s="838" t="s">
        <v>3510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2122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2293</v>
      </c>
      <c r="C1994" s="838" t="s">
        <v>3510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1644</v>
      </c>
      <c r="I1994" s="1232" t="s">
        <v>1540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2292</v>
      </c>
      <c r="C1995" s="838" t="s">
        <v>3510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1644</v>
      </c>
      <c r="I1995" s="1231" t="s">
        <v>1693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2291</v>
      </c>
      <c r="C1996" s="838" t="s">
        <v>3510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1644</v>
      </c>
      <c r="I1996" s="1232" t="s">
        <v>1734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2290</v>
      </c>
      <c r="C1997" s="838" t="s">
        <v>3510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2122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2289</v>
      </c>
      <c r="C1998" s="838" t="s">
        <v>3510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3365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4462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2289</v>
      </c>
      <c r="C1999" s="838" t="s">
        <v>3510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1644</v>
      </c>
      <c r="I1999" s="1232" t="s">
        <v>1695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2288</v>
      </c>
      <c r="C2000" s="838" t="s">
        <v>3510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2122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2287</v>
      </c>
      <c r="C2001" s="838" t="s">
        <v>3510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1644</v>
      </c>
      <c r="I2001" s="1231" t="s">
        <v>1693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2286</v>
      </c>
      <c r="C2002" s="838" t="s">
        <v>3510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1644</v>
      </c>
      <c r="I2002" s="1232" t="s">
        <v>1540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2285</v>
      </c>
      <c r="C2003" s="838" t="s">
        <v>3510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2122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2284</v>
      </c>
      <c r="C2004" s="838" t="s">
        <v>3510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1644</v>
      </c>
      <c r="I2004" s="1231" t="s">
        <v>1769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2283</v>
      </c>
      <c r="C2005" s="838" t="s">
        <v>3510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1644</v>
      </c>
      <c r="I2005" s="1232" t="s">
        <v>2302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2282</v>
      </c>
      <c r="C2006" s="838" t="s">
        <v>3510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1644</v>
      </c>
      <c r="I2006" s="1232" t="s">
        <v>2302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2282</v>
      </c>
      <c r="C2007" s="838" t="s">
        <v>3510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2122</v>
      </c>
      <c r="I2007" s="1232" t="s">
        <v>2123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2281</v>
      </c>
      <c r="C2008" s="838" t="s">
        <v>3510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1644</v>
      </c>
      <c r="I2008" s="1231" t="s">
        <v>1693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2280</v>
      </c>
      <c r="C2009" s="838" t="s">
        <v>3510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2279</v>
      </c>
      <c r="C2010" s="838" t="s">
        <v>3510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1644</v>
      </c>
      <c r="I2010" s="1232" t="s">
        <v>1735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2278</v>
      </c>
      <c r="C2011" s="838" t="s">
        <v>3510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2277</v>
      </c>
      <c r="C2012" s="838" t="s">
        <v>3510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1644</v>
      </c>
      <c r="I2012" s="1232" t="s">
        <v>2302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2276</v>
      </c>
      <c r="C2013" s="838" t="s">
        <v>3510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1644</v>
      </c>
      <c r="I2013" s="1231" t="s">
        <v>1693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2275</v>
      </c>
      <c r="C2014" s="838" t="s">
        <v>3510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1644</v>
      </c>
      <c r="I2014" s="1232" t="s">
        <v>1734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2274</v>
      </c>
      <c r="C2015" s="838" t="s">
        <v>3510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1644</v>
      </c>
      <c r="I2015" s="1232" t="s">
        <v>1695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2273</v>
      </c>
      <c r="C2016" s="838" t="s">
        <v>3510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1644</v>
      </c>
      <c r="I2016" s="1232" t="s">
        <v>2272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2331</v>
      </c>
      <c r="C2017" s="838" t="s">
        <v>3510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1644</v>
      </c>
      <c r="I2017" s="1233" t="s">
        <v>1769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2330</v>
      </c>
      <c r="C2018" s="838" t="s">
        <v>3510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2122</v>
      </c>
      <c r="I2018" s="1233" t="s">
        <v>1769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2329</v>
      </c>
      <c r="C2019" s="838" t="s">
        <v>3510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1644</v>
      </c>
      <c r="I2019" s="1231" t="s">
        <v>1693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2328</v>
      </c>
      <c r="C2020" s="838" t="s">
        <v>3510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2122</v>
      </c>
      <c r="I2020" s="1233" t="s">
        <v>1769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2327</v>
      </c>
      <c r="C2021" s="838" t="s">
        <v>3510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1644</v>
      </c>
      <c r="I2021" s="1233" t="s">
        <v>2332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2326</v>
      </c>
      <c r="C2022" s="838" t="s">
        <v>3510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2325</v>
      </c>
      <c r="C2023" s="838" t="s">
        <v>3510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1644</v>
      </c>
      <c r="I2023" s="1233" t="s">
        <v>1695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2324</v>
      </c>
      <c r="C2024" s="838" t="s">
        <v>3510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2122</v>
      </c>
      <c r="I2024" s="1233" t="s">
        <v>1769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2323</v>
      </c>
      <c r="C2025" s="838" t="s">
        <v>3510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2122</v>
      </c>
      <c r="I2025" s="1233" t="s">
        <v>1769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2322</v>
      </c>
      <c r="C2026" s="838" t="s">
        <v>3510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1644</v>
      </c>
      <c r="I2026" s="1233" t="s">
        <v>1643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2321</v>
      </c>
      <c r="C2027" s="838" t="s">
        <v>3510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2320</v>
      </c>
      <c r="C2028" s="838" t="s">
        <v>3510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2320</v>
      </c>
      <c r="C2029" s="838" t="s">
        <v>3510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1644</v>
      </c>
      <c r="I2029" s="1231" t="s">
        <v>1693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2319</v>
      </c>
      <c r="C2030" s="838" t="s">
        <v>3510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1644</v>
      </c>
      <c r="I2030" s="1233" t="s">
        <v>1734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2318</v>
      </c>
      <c r="C2031" s="838" t="s">
        <v>3510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1818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2317</v>
      </c>
      <c r="C2032" s="838" t="s">
        <v>3510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2316</v>
      </c>
      <c r="C2033" s="838" t="s">
        <v>3510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1644</v>
      </c>
      <c r="I2033" s="1231" t="s">
        <v>1693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2316</v>
      </c>
      <c r="C2034" s="838" t="s">
        <v>3510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2917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2315</v>
      </c>
      <c r="C2035" s="838" t="s">
        <v>3510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2122</v>
      </c>
      <c r="I2035" s="1233" t="s">
        <v>2123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2314</v>
      </c>
      <c r="C2036" s="838" t="s">
        <v>3510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2122</v>
      </c>
      <c r="I2036" s="1233" t="s">
        <v>2123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2313</v>
      </c>
      <c r="C2037" s="838" t="s">
        <v>3510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1644</v>
      </c>
      <c r="I2037" s="1231" t="s">
        <v>1693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2312</v>
      </c>
      <c r="C2038" s="838" t="s">
        <v>3510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1644</v>
      </c>
      <c r="I2038" s="1232" t="s">
        <v>2272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2311</v>
      </c>
      <c r="C2039" s="838" t="s">
        <v>3510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1644</v>
      </c>
      <c r="I2039" s="1231" t="s">
        <v>1693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2310</v>
      </c>
      <c r="C2040" s="838" t="s">
        <v>3510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1644</v>
      </c>
      <c r="I2040" s="1233" t="s">
        <v>2333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2309</v>
      </c>
      <c r="C2041" s="838" t="s">
        <v>3510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1644</v>
      </c>
      <c r="I2041" s="1233" t="s">
        <v>1540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2308</v>
      </c>
      <c r="C2042" s="838" t="s">
        <v>3510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1644</v>
      </c>
      <c r="I2042" s="1233" t="s">
        <v>1540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2307</v>
      </c>
      <c r="C2043" s="838" t="s">
        <v>3510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1644</v>
      </c>
      <c r="I2043" s="1231" t="s">
        <v>1693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2306</v>
      </c>
      <c r="C2044" s="838" t="s">
        <v>3510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1644</v>
      </c>
      <c r="I2044" s="1233" t="s">
        <v>1540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2393</v>
      </c>
      <c r="C2045" s="838" t="s">
        <v>3510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1644</v>
      </c>
      <c r="I2045" s="1234" t="s">
        <v>1694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2392</v>
      </c>
      <c r="C2046" s="838" t="s">
        <v>3510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2122</v>
      </c>
      <c r="I2046" s="1234" t="s">
        <v>1769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2394</v>
      </c>
      <c r="C2047" s="838" t="s">
        <v>3510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2122</v>
      </c>
      <c r="I2047" s="1233" t="s">
        <v>2123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2391</v>
      </c>
      <c r="C2048" s="838" t="s">
        <v>3510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2122</v>
      </c>
      <c r="I2048" s="1234" t="s">
        <v>1769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2390</v>
      </c>
      <c r="C2049" s="838" t="s">
        <v>3510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1644</v>
      </c>
      <c r="I2049" s="1234" t="s">
        <v>1695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2389</v>
      </c>
      <c r="C2050" s="838" t="s">
        <v>3510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2122</v>
      </c>
      <c r="I2050" s="1234" t="s">
        <v>1769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2388</v>
      </c>
      <c r="C2051" s="838" t="s">
        <v>3510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2122</v>
      </c>
      <c r="I2051" s="1234" t="s">
        <v>1769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2387</v>
      </c>
      <c r="C2052" s="838" t="s">
        <v>3510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1644</v>
      </c>
      <c r="I2052" s="1234" t="s">
        <v>1643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2386</v>
      </c>
      <c r="C2053" s="838" t="s">
        <v>3510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2395</v>
      </c>
      <c r="C2054" s="838" t="s">
        <v>3510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2122</v>
      </c>
      <c r="I2054" s="1234" t="s">
        <v>2125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2385</v>
      </c>
      <c r="C2055" s="838" t="s">
        <v>3510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2122</v>
      </c>
      <c r="I2055" s="1234" t="s">
        <v>2123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2384</v>
      </c>
      <c r="C2056" s="838" t="s">
        <v>3510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1644</v>
      </c>
      <c r="I2056" s="1234" t="s">
        <v>2333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2383</v>
      </c>
      <c r="C2057" s="838" t="s">
        <v>3510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2122</v>
      </c>
      <c r="I2057" s="1234" t="s">
        <v>1769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2382</v>
      </c>
      <c r="C2058" s="838" t="s">
        <v>3510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2122</v>
      </c>
      <c r="I2058" s="1234" t="s">
        <v>2123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2381</v>
      </c>
      <c r="C2059" s="838" t="s">
        <v>3510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2122</v>
      </c>
      <c r="I2059" s="1234" t="s">
        <v>2123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2380</v>
      </c>
      <c r="C2060" s="838" t="s">
        <v>3510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2122</v>
      </c>
      <c r="I2060" s="1234" t="s">
        <v>2123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2379</v>
      </c>
      <c r="C2061" s="838" t="s">
        <v>3510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2122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2378</v>
      </c>
      <c r="C2062" s="838" t="s">
        <v>3510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2122</v>
      </c>
      <c r="I2062" s="1234" t="s">
        <v>1769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2377</v>
      </c>
      <c r="C2063" s="838" t="s">
        <v>3510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2122</v>
      </c>
      <c r="I2063" s="1234" t="s">
        <v>1769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2376</v>
      </c>
      <c r="C2064" s="838" t="s">
        <v>3510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2122</v>
      </c>
      <c r="I2064" s="1234" t="s">
        <v>1769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2375</v>
      </c>
      <c r="C2065" s="838" t="s">
        <v>3510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1644</v>
      </c>
      <c r="I2065" s="1234" t="s">
        <v>2332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2374</v>
      </c>
      <c r="C2066" s="838" t="s">
        <v>3510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1644</v>
      </c>
      <c r="I2066" s="1234" t="s">
        <v>1769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2373</v>
      </c>
      <c r="C2067" s="838" t="s">
        <v>3510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1644</v>
      </c>
      <c r="I2067" s="1234" t="s">
        <v>1540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2372</v>
      </c>
      <c r="C2068" s="838" t="s">
        <v>3510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2371</v>
      </c>
      <c r="C2069" s="838" t="s">
        <v>3510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2122</v>
      </c>
      <c r="I2069" s="1234" t="s">
        <v>2123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2370</v>
      </c>
      <c r="C2070" s="838" t="s">
        <v>3510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1644</v>
      </c>
      <c r="I2070" s="1234" t="s">
        <v>2333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2369</v>
      </c>
      <c r="C2071" s="838" t="s">
        <v>3510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2368</v>
      </c>
      <c r="C2072" s="838" t="s">
        <v>3510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1644</v>
      </c>
      <c r="I2072" s="1234" t="s">
        <v>1751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2367</v>
      </c>
      <c r="C2073" s="838" t="s">
        <v>3510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3365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2366</v>
      </c>
      <c r="C2074" s="838" t="s">
        <v>3510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1644</v>
      </c>
      <c r="I2074" s="1234" t="s">
        <v>1540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2366</v>
      </c>
      <c r="C2075" s="838" t="s">
        <v>3510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1644</v>
      </c>
      <c r="I2075" s="1234" t="s">
        <v>2333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2365</v>
      </c>
      <c r="C2076" s="838" t="s">
        <v>3510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1356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2364</v>
      </c>
      <c r="C2077" s="838" t="s">
        <v>3510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1644</v>
      </c>
      <c r="I2077" s="1234" t="s">
        <v>1641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2363</v>
      </c>
      <c r="C2078" s="838" t="s">
        <v>3510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1644</v>
      </c>
      <c r="I2078" s="1234" t="s">
        <v>1643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2362</v>
      </c>
      <c r="C2079" s="838" t="s">
        <v>3510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1644</v>
      </c>
      <c r="I2079" s="1234" t="s">
        <v>1540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2361</v>
      </c>
      <c r="C2080" s="838" t="s">
        <v>3510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1644</v>
      </c>
      <c r="I2080" s="1234" t="s">
        <v>1540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2360</v>
      </c>
      <c r="C2081" s="838" t="s">
        <v>3510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1644</v>
      </c>
      <c r="I2081" s="1234" t="s">
        <v>1693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2359</v>
      </c>
      <c r="C2082" s="838" t="s">
        <v>3510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2122</v>
      </c>
      <c r="I2082" s="1234" t="s">
        <v>1769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2358</v>
      </c>
      <c r="C2083" s="838" t="s">
        <v>3510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2122</v>
      </c>
      <c r="I2083" s="1234" t="s">
        <v>1769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2357</v>
      </c>
      <c r="C2084" s="838" t="s">
        <v>3510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2122</v>
      </c>
      <c r="I2084" s="1234" t="s">
        <v>1769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2356</v>
      </c>
      <c r="C2085" s="838" t="s">
        <v>3510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1644</v>
      </c>
      <c r="I2085" s="1234" t="s">
        <v>1693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2355</v>
      </c>
      <c r="C2086" s="838" t="s">
        <v>3510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2354</v>
      </c>
      <c r="C2087" s="838" t="s">
        <v>3510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1644</v>
      </c>
      <c r="I2087" s="1234" t="s">
        <v>1540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2353</v>
      </c>
      <c r="C2088" s="838" t="s">
        <v>3510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1644</v>
      </c>
      <c r="I2088" s="1234" t="s">
        <v>1693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2352</v>
      </c>
      <c r="C2089" s="838" t="s">
        <v>3510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2122</v>
      </c>
      <c r="I2089" s="1234" t="s">
        <v>1769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2351</v>
      </c>
      <c r="C2090" s="838" t="s">
        <v>3510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1644</v>
      </c>
      <c r="I2090" s="1234" t="s">
        <v>1695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2350</v>
      </c>
      <c r="C2091" s="838" t="s">
        <v>3510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2349</v>
      </c>
      <c r="C2092" s="838" t="s">
        <v>3510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1644</v>
      </c>
      <c r="I2092" s="1234" t="s">
        <v>1540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2348</v>
      </c>
      <c r="C2093" s="838" t="s">
        <v>3510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2122</v>
      </c>
      <c r="I2093" s="1234" t="s">
        <v>1769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2347</v>
      </c>
      <c r="C2094" s="838" t="s">
        <v>3510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1644</v>
      </c>
      <c r="I2094" s="1234" t="s">
        <v>1693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2346</v>
      </c>
      <c r="C2095" s="838" t="s">
        <v>3510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1644</v>
      </c>
      <c r="I2095" s="1234" t="s">
        <v>1540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2345</v>
      </c>
      <c r="C2096" s="838" t="s">
        <v>3510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1644</v>
      </c>
      <c r="I2096" s="1234" t="s">
        <v>2302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2344</v>
      </c>
      <c r="C2097" s="838" t="s">
        <v>3510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1644</v>
      </c>
      <c r="I2097" s="1234" t="s">
        <v>1693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2343</v>
      </c>
      <c r="C2098" s="838" t="s">
        <v>3510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1644</v>
      </c>
      <c r="I2098" s="1234" t="s">
        <v>1641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2342</v>
      </c>
      <c r="C2099" s="838" t="s">
        <v>3510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2122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2341</v>
      </c>
      <c r="C2100" s="838" t="s">
        <v>3510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2122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2424</v>
      </c>
      <c r="C2101" s="838" t="s">
        <v>3510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2122</v>
      </c>
      <c r="I2101" s="1235" t="s">
        <v>1769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2424</v>
      </c>
      <c r="C2102" s="838" t="s">
        <v>3510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2122</v>
      </c>
      <c r="I2102" s="1235" t="s">
        <v>2125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2420</v>
      </c>
      <c r="C2103" s="838" t="s">
        <v>3510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1644</v>
      </c>
      <c r="I2103" s="1235" t="s">
        <v>1641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2419</v>
      </c>
      <c r="C2104" s="838" t="s">
        <v>3510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1644</v>
      </c>
      <c r="I2104" s="1234" t="s">
        <v>1693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2418</v>
      </c>
      <c r="C2105" s="838" t="s">
        <v>3510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2122</v>
      </c>
      <c r="I2105" s="1235" t="s">
        <v>2123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3510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1644</v>
      </c>
      <c r="I2106" s="1234" t="s">
        <v>1693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2417</v>
      </c>
      <c r="C2107" s="838" t="s">
        <v>3510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3365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2918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2416</v>
      </c>
      <c r="C2108" s="838" t="s">
        <v>3510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2122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2415</v>
      </c>
      <c r="C2109" s="838" t="s">
        <v>3510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1644</v>
      </c>
      <c r="I2109" s="1235" t="s">
        <v>1643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2414</v>
      </c>
      <c r="C2110" s="838" t="s">
        <v>3510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1644</v>
      </c>
      <c r="I2110" s="1235" t="s">
        <v>2302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2412</v>
      </c>
      <c r="C2111" s="838" t="s">
        <v>3510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2122</v>
      </c>
      <c r="I2111" s="1235" t="s">
        <v>1769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2413</v>
      </c>
      <c r="C2112" s="838" t="s">
        <v>3510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1644</v>
      </c>
      <c r="I2112" s="1235" t="s">
        <v>2332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2411</v>
      </c>
      <c r="C2113" s="838" t="s">
        <v>3510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1644</v>
      </c>
      <c r="I2113" s="1235" t="s">
        <v>1540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2411</v>
      </c>
      <c r="C2114" s="838" t="s">
        <v>3510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1644</v>
      </c>
      <c r="I2114" s="1235" t="s">
        <v>2333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2410</v>
      </c>
      <c r="C2115" s="838" t="s">
        <v>3510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1644</v>
      </c>
      <c r="I2115" s="1235" t="s">
        <v>1733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2409</v>
      </c>
      <c r="C2116" s="838" t="s">
        <v>3510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1644</v>
      </c>
      <c r="I2116" s="1235" t="s">
        <v>1695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2408</v>
      </c>
      <c r="C2117" s="838" t="s">
        <v>3510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1644</v>
      </c>
      <c r="I2117" s="1235" t="s">
        <v>1769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2408</v>
      </c>
      <c r="C2118" s="838" t="s">
        <v>3510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2122</v>
      </c>
      <c r="I2118" s="1235" t="s">
        <v>1769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2407</v>
      </c>
      <c r="C2119" s="838" t="s">
        <v>3510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2122</v>
      </c>
      <c r="I2119" s="1235" t="s">
        <v>2125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2407</v>
      </c>
      <c r="C2120" s="838" t="s">
        <v>3510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1644</v>
      </c>
      <c r="I2120" s="1235" t="s">
        <v>1695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2406</v>
      </c>
      <c r="C2121" s="838" t="s">
        <v>3510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2122</v>
      </c>
      <c r="I2121" s="1235" t="s">
        <v>2123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2405</v>
      </c>
      <c r="C2122" s="838" t="s">
        <v>3510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2122</v>
      </c>
      <c r="I2122" s="1235" t="s">
        <v>1769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2446</v>
      </c>
      <c r="C2123" s="838" t="s">
        <v>3510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1644</v>
      </c>
      <c r="I2123" s="1236" t="s">
        <v>1734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2445</v>
      </c>
      <c r="C2124" s="838" t="s">
        <v>3510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1644</v>
      </c>
      <c r="I2124" s="1236" t="s">
        <v>1751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2444</v>
      </c>
      <c r="C2125" s="838" t="s">
        <v>3510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1644</v>
      </c>
      <c r="I2125" s="1234" t="s">
        <v>1693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2443</v>
      </c>
      <c r="C2126" s="838" t="s">
        <v>3510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2122</v>
      </c>
      <c r="I2126" s="1235" t="s">
        <v>2123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2442</v>
      </c>
      <c r="C2127" s="838" t="s">
        <v>3510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1644</v>
      </c>
      <c r="I2127" s="1236" t="s">
        <v>1540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2441</v>
      </c>
      <c r="C2128" s="838" t="s">
        <v>3510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2122</v>
      </c>
      <c r="I2128" s="1235" t="s">
        <v>1769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2440</v>
      </c>
      <c r="C2129" s="838" t="s">
        <v>3510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2122</v>
      </c>
      <c r="I2129" s="1235" t="s">
        <v>1769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2439</v>
      </c>
      <c r="C2130" s="838" t="s">
        <v>3510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2122</v>
      </c>
      <c r="I2130" s="1235" t="s">
        <v>2123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2438</v>
      </c>
      <c r="C2131" s="838" t="s">
        <v>3510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1644</v>
      </c>
      <c r="I2131" s="1235" t="s">
        <v>1769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2437</v>
      </c>
      <c r="C2132" s="838" t="s">
        <v>3510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2122</v>
      </c>
      <c r="I2132" s="1235" t="s">
        <v>1769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2436</v>
      </c>
      <c r="C2133" s="838" t="s">
        <v>3510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2122</v>
      </c>
      <c r="I2133" s="1235" t="s">
        <v>1769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2435</v>
      </c>
      <c r="C2134" s="838" t="s">
        <v>3510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1644</v>
      </c>
      <c r="I2134" s="1234" t="s">
        <v>1693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2434</v>
      </c>
      <c r="C2135" s="838" t="s">
        <v>3510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1644</v>
      </c>
      <c r="I2135" s="1236" t="s">
        <v>1641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2433</v>
      </c>
      <c r="C2136" s="838" t="s">
        <v>3510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2122</v>
      </c>
      <c r="I2136" s="1236" t="s">
        <v>2125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2432</v>
      </c>
      <c r="C2137" s="838" t="s">
        <v>3510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1644</v>
      </c>
      <c r="I2137" s="1236" t="s">
        <v>1751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2431</v>
      </c>
      <c r="C2138" s="838" t="s">
        <v>3510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3365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1212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2431</v>
      </c>
      <c r="C2139" s="838" t="s">
        <v>3510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1644</v>
      </c>
      <c r="I2139" s="1236" t="s">
        <v>1695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2430</v>
      </c>
      <c r="C2140" s="838" t="s">
        <v>3510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1644</v>
      </c>
      <c r="I2140" s="1236" t="s">
        <v>1696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2429</v>
      </c>
      <c r="C2141" s="838" t="s">
        <v>3510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2428</v>
      </c>
      <c r="C2142" s="838" t="s">
        <v>3510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2122</v>
      </c>
      <c r="I2142" s="1235" t="s">
        <v>1769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2427</v>
      </c>
      <c r="C2143" s="838" t="s">
        <v>3510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1644</v>
      </c>
      <c r="I2143" s="1235" t="s">
        <v>1540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2426</v>
      </c>
      <c r="C2144" s="838" t="s">
        <v>3510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1644</v>
      </c>
      <c r="I2144" s="1236" t="s">
        <v>2302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2425</v>
      </c>
      <c r="C2145" s="838" t="s">
        <v>3510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1644</v>
      </c>
      <c r="I2145" s="1236" t="s">
        <v>1751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2531</v>
      </c>
      <c r="C2146" s="838" t="s">
        <v>3510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1644</v>
      </c>
      <c r="I2146" s="1236" t="s">
        <v>1735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2530</v>
      </c>
      <c r="C2147" s="838" t="s">
        <v>3510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1644</v>
      </c>
      <c r="I2147" s="1236" t="s">
        <v>1769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2529</v>
      </c>
      <c r="C2148" s="838" t="s">
        <v>3510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2122</v>
      </c>
      <c r="I2148" s="1235" t="s">
        <v>1769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2527</v>
      </c>
      <c r="C2149" s="838" t="s">
        <v>3510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1644</v>
      </c>
      <c r="I2149" s="1236" t="s">
        <v>1641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2528</v>
      </c>
      <c r="C2150" s="838" t="s">
        <v>3510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1644</v>
      </c>
      <c r="I2150" s="1236" t="s">
        <v>1643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2526</v>
      </c>
      <c r="C2151" s="838" t="s">
        <v>3510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1644</v>
      </c>
      <c r="I2151" s="1236" t="s">
        <v>2532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2525</v>
      </c>
      <c r="C2152" s="838" t="s">
        <v>3510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1644</v>
      </c>
      <c r="I2152" s="1236" t="s">
        <v>1695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2524</v>
      </c>
      <c r="C2153" s="838" t="s">
        <v>3510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1644</v>
      </c>
      <c r="I2153" s="1236" t="s">
        <v>2302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2523</v>
      </c>
      <c r="C2154" s="838" t="s">
        <v>3510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1644</v>
      </c>
      <c r="I2154" s="1236" t="s">
        <v>1693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2522</v>
      </c>
      <c r="C2155" s="838" t="s">
        <v>3510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1644</v>
      </c>
      <c r="I2155" s="1236" t="s">
        <v>1734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2521</v>
      </c>
      <c r="C2156" s="838" t="s">
        <v>3510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2122</v>
      </c>
      <c r="I2156" s="1236" t="s">
        <v>1769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2520</v>
      </c>
      <c r="C2157" s="838" t="s">
        <v>3510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2122</v>
      </c>
      <c r="I2157" s="1236" t="s">
        <v>1769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2519</v>
      </c>
      <c r="C2158" s="838" t="s">
        <v>3510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1644</v>
      </c>
      <c r="I2158" s="1236" t="s">
        <v>1540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2518</v>
      </c>
      <c r="C2159" s="838" t="s">
        <v>3510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1644</v>
      </c>
      <c r="I2159" s="1236" t="s">
        <v>2272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2517</v>
      </c>
      <c r="C2160" s="838" t="s">
        <v>3510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1644</v>
      </c>
      <c r="I2160" s="1236" t="s">
        <v>1641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2516</v>
      </c>
      <c r="C2161" s="838" t="s">
        <v>3510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1644</v>
      </c>
      <c r="I2161" s="1236" t="s">
        <v>1540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2515</v>
      </c>
      <c r="C2162" s="838" t="s">
        <v>3510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1644</v>
      </c>
      <c r="I2162" s="1236" t="s">
        <v>1540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2514</v>
      </c>
      <c r="C2163" s="838" t="s">
        <v>3510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1644</v>
      </c>
      <c r="I2163" s="1236" t="s">
        <v>2332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2513</v>
      </c>
      <c r="C2164" s="838" t="s">
        <v>3510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1644</v>
      </c>
      <c r="I2164" s="1236" t="s">
        <v>1540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2512</v>
      </c>
      <c r="C2165" s="838" t="s">
        <v>3510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1644</v>
      </c>
      <c r="I2165" s="1236" t="s">
        <v>1734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2511</v>
      </c>
      <c r="C2166" s="838" t="s">
        <v>3510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2122</v>
      </c>
      <c r="I2166" s="1236" t="s">
        <v>1769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2533</v>
      </c>
      <c r="C2167" s="838" t="s">
        <v>3510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2510</v>
      </c>
      <c r="C2168" s="838" t="s">
        <v>3510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1644</v>
      </c>
      <c r="I2168" s="1236" t="s">
        <v>2302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2509</v>
      </c>
      <c r="C2169" s="838" t="s">
        <v>3510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1644</v>
      </c>
      <c r="I2169" s="1236" t="s">
        <v>1769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2508</v>
      </c>
      <c r="C2170" s="838" t="s">
        <v>3510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1644</v>
      </c>
      <c r="I2170" s="1236" t="s">
        <v>1693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2507</v>
      </c>
      <c r="C2171" s="838" t="s">
        <v>3510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1644</v>
      </c>
      <c r="I2171" s="1236" t="s">
        <v>1641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2506</v>
      </c>
      <c r="C2172" s="838" t="s">
        <v>3510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1644</v>
      </c>
      <c r="I2172" s="1236" t="s">
        <v>1696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2505</v>
      </c>
      <c r="C2173" s="838" t="s">
        <v>3510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1644</v>
      </c>
      <c r="I2173" s="1236" t="s">
        <v>1696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2504</v>
      </c>
      <c r="C2174" s="838" t="s">
        <v>3510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1644</v>
      </c>
      <c r="I2174" s="1236" t="s">
        <v>2302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2503</v>
      </c>
      <c r="C2175" s="838" t="s">
        <v>3510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2502</v>
      </c>
      <c r="C2176" s="838" t="s">
        <v>3510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1644</v>
      </c>
      <c r="I2176" s="1236" t="s">
        <v>1641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2501</v>
      </c>
      <c r="C2177" s="838" t="s">
        <v>3510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3365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2006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2501</v>
      </c>
      <c r="C2178" s="838" t="s">
        <v>3510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1537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2500</v>
      </c>
      <c r="C2179" s="838" t="s">
        <v>3510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1644</v>
      </c>
      <c r="I2179" s="1236" t="s">
        <v>2302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2499</v>
      </c>
      <c r="C2180" s="838" t="s">
        <v>3510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2122</v>
      </c>
      <c r="I2180" s="1236" t="s">
        <v>1769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2498</v>
      </c>
      <c r="C2181" s="838" t="s">
        <v>3510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1644</v>
      </c>
      <c r="I2181" s="1236" t="s">
        <v>1693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2497</v>
      </c>
      <c r="C2182" s="838" t="s">
        <v>3510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2122</v>
      </c>
      <c r="I2182" s="1236" t="s">
        <v>2123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2496</v>
      </c>
      <c r="C2183" s="838" t="s">
        <v>3510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2122</v>
      </c>
      <c r="I2183" s="1236" t="s">
        <v>2125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2495</v>
      </c>
      <c r="C2184" s="838" t="s">
        <v>3510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1644</v>
      </c>
      <c r="I2184" s="1236" t="s">
        <v>1693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2494</v>
      </c>
      <c r="C2185" s="838" t="s">
        <v>3510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1644</v>
      </c>
      <c r="I2185" s="1236" t="s">
        <v>1769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2493</v>
      </c>
      <c r="C2186" s="838" t="s">
        <v>3510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1644</v>
      </c>
      <c r="I2186" s="1236" t="s">
        <v>1540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2492</v>
      </c>
      <c r="C2187" s="838" t="s">
        <v>3510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1644</v>
      </c>
      <c r="I2187" s="1236" t="s">
        <v>1540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2491</v>
      </c>
      <c r="C2188" s="838" t="s">
        <v>3510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1644</v>
      </c>
      <c r="I2188" s="1236" t="s">
        <v>1540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2490</v>
      </c>
      <c r="C2189" s="838" t="s">
        <v>3510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1644</v>
      </c>
      <c r="I2189" s="1236" t="s">
        <v>1695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2489</v>
      </c>
      <c r="C2190" s="838" t="s">
        <v>3510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1644</v>
      </c>
      <c r="I2190" s="1236" t="s">
        <v>1641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2488</v>
      </c>
      <c r="C2191" s="838" t="s">
        <v>3510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2122</v>
      </c>
      <c r="I2191" s="1236" t="s">
        <v>2123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2487</v>
      </c>
      <c r="C2192" s="838" t="s">
        <v>3510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2122</v>
      </c>
      <c r="I2192" s="1236" t="s">
        <v>2123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2486</v>
      </c>
      <c r="C2193" s="838" t="s">
        <v>3510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2122</v>
      </c>
      <c r="I2193" s="1236" t="s">
        <v>2123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2485</v>
      </c>
      <c r="C2194" s="838" t="s">
        <v>3510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2484</v>
      </c>
      <c r="C2195" s="838" t="s">
        <v>3510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3365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2484</v>
      </c>
      <c r="C2196" s="838" t="s">
        <v>3510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1537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2483</v>
      </c>
      <c r="C2197" s="838" t="s">
        <v>3510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1644</v>
      </c>
      <c r="I2197" s="1236" t="s">
        <v>1540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2482</v>
      </c>
      <c r="C2198" s="838" t="s">
        <v>3510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1644</v>
      </c>
      <c r="I2198" s="1236" t="s">
        <v>2272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2481</v>
      </c>
      <c r="C2199" s="838" t="s">
        <v>3510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1644</v>
      </c>
      <c r="I2199" s="1236" t="s">
        <v>1734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2481</v>
      </c>
      <c r="C2200" s="838" t="s">
        <v>3510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1644</v>
      </c>
      <c r="I2200" s="1236" t="s">
        <v>1733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2480</v>
      </c>
      <c r="C2201" s="838" t="s">
        <v>3510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1644</v>
      </c>
      <c r="I2201" s="1236" t="s">
        <v>2272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2479</v>
      </c>
      <c r="C2202" s="838" t="s">
        <v>3510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1644</v>
      </c>
      <c r="I2202" s="1236" t="s">
        <v>1540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2478</v>
      </c>
      <c r="C2203" s="838" t="s">
        <v>3510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1644</v>
      </c>
      <c r="I2203" s="1236" t="s">
        <v>1734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2477</v>
      </c>
      <c r="C2204" s="838" t="s">
        <v>3510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1644</v>
      </c>
      <c r="I2204" s="1236" t="s">
        <v>1734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2476</v>
      </c>
      <c r="C2205" s="838" t="s">
        <v>3510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1644</v>
      </c>
      <c r="I2205" s="1236" t="s">
        <v>1540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2475</v>
      </c>
      <c r="C2206" s="838" t="s">
        <v>3510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1644</v>
      </c>
      <c r="I2206" s="1236" t="s">
        <v>1643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2474</v>
      </c>
      <c r="C2207" s="838" t="s">
        <v>3510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2122</v>
      </c>
      <c r="I2207" s="1236" t="s">
        <v>2123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2473</v>
      </c>
      <c r="C2208" s="838" t="s">
        <v>3510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1644</v>
      </c>
      <c r="I2208" s="1236" t="s">
        <v>1735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2472</v>
      </c>
      <c r="C2209" s="838" t="s">
        <v>3510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1644</v>
      </c>
      <c r="I2209" s="1236" t="s">
        <v>2302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2471</v>
      </c>
      <c r="C2210" s="838" t="s">
        <v>3510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1644</v>
      </c>
      <c r="I2210" s="1236" t="s">
        <v>1695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2470</v>
      </c>
      <c r="C2211" s="838" t="s">
        <v>3510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2469</v>
      </c>
      <c r="C2212" s="838" t="s">
        <v>3510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1644</v>
      </c>
      <c r="I2212" s="1236" t="s">
        <v>1734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2468</v>
      </c>
      <c r="C2213" s="838" t="s">
        <v>3510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1644</v>
      </c>
      <c r="I2213" s="1236" t="s">
        <v>2332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2467</v>
      </c>
      <c r="C2214" s="838" t="s">
        <v>3510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3365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2467</v>
      </c>
      <c r="C2215" s="838" t="s">
        <v>3510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1644</v>
      </c>
      <c r="I2215" s="1236" t="s">
        <v>1695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2466</v>
      </c>
      <c r="C2216" s="838" t="s">
        <v>3510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1644</v>
      </c>
      <c r="I2216" s="1236" t="s">
        <v>1540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2465</v>
      </c>
      <c r="C2217" s="838" t="s">
        <v>3510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2464</v>
      </c>
      <c r="C2218" s="838" t="s">
        <v>3510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2463</v>
      </c>
      <c r="C2219" s="838" t="s">
        <v>3510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1644</v>
      </c>
      <c r="I2219" s="1236" t="s">
        <v>1540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2462</v>
      </c>
      <c r="C2220" s="838" t="s">
        <v>3510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2461</v>
      </c>
      <c r="C2221" s="838" t="s">
        <v>3510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1644</v>
      </c>
      <c r="I2221" s="1236" t="s">
        <v>1733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2460</v>
      </c>
      <c r="C2222" s="838" t="s">
        <v>3510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1644</v>
      </c>
      <c r="I2222" s="1236" t="s">
        <v>1751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2459</v>
      </c>
      <c r="C2223" s="838" t="s">
        <v>3510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1644</v>
      </c>
      <c r="I2223" s="1236" t="s">
        <v>2302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2458</v>
      </c>
      <c r="C2224" s="838" t="s">
        <v>3510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1644</v>
      </c>
      <c r="I2224" s="1236" t="s">
        <v>1693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2457</v>
      </c>
      <c r="C2225" s="838" t="s">
        <v>3510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1644</v>
      </c>
      <c r="I2225" s="1236" t="s">
        <v>1641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2456</v>
      </c>
      <c r="C2226" s="838" t="s">
        <v>3510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1644</v>
      </c>
      <c r="I2226" s="1236" t="s">
        <v>1734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2455</v>
      </c>
      <c r="C2227" s="838" t="s">
        <v>3510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1644</v>
      </c>
      <c r="I2227" s="1236" t="s">
        <v>1733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2455</v>
      </c>
      <c r="C2228" s="838" t="s">
        <v>3510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2122</v>
      </c>
      <c r="I2228" s="1236" t="s">
        <v>2123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2454</v>
      </c>
      <c r="C2229" s="838" t="s">
        <v>3510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1644</v>
      </c>
      <c r="I2229" s="1236" t="s">
        <v>1693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2453</v>
      </c>
      <c r="C2230" s="838" t="s">
        <v>3510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2452</v>
      </c>
      <c r="C2231" s="838" t="s">
        <v>3510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1644</v>
      </c>
      <c r="I2231" s="1236" t="s">
        <v>1733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2451</v>
      </c>
      <c r="C2232" s="838" t="s">
        <v>3510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1644</v>
      </c>
      <c r="I2232" s="1236" t="s">
        <v>1540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2618</v>
      </c>
      <c r="C2233" s="838" t="s">
        <v>3510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1644</v>
      </c>
      <c r="I2233" s="1236" t="s">
        <v>1694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2617</v>
      </c>
      <c r="C2234" s="838" t="s">
        <v>3510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1644</v>
      </c>
      <c r="I2234" s="1236" t="s">
        <v>1693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2616</v>
      </c>
      <c r="C2235" s="838" t="s">
        <v>3510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2615</v>
      </c>
      <c r="C2236" s="838" t="s">
        <v>3510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1644</v>
      </c>
      <c r="I2236" s="1236" t="s">
        <v>1641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2614</v>
      </c>
      <c r="C2237" s="838" t="s">
        <v>3510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1644</v>
      </c>
      <c r="I2237" s="1236" t="s">
        <v>1540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2613</v>
      </c>
      <c r="C2238" s="838" t="s">
        <v>3510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1644</v>
      </c>
      <c r="I2238" s="1236" t="s">
        <v>1540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2612</v>
      </c>
      <c r="C2239" s="838" t="s">
        <v>3510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1644</v>
      </c>
      <c r="I2239" s="1236" t="s">
        <v>1769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2611</v>
      </c>
      <c r="C2240" s="838" t="s">
        <v>3510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1644</v>
      </c>
      <c r="I2240" s="1236" t="s">
        <v>1734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2610</v>
      </c>
      <c r="C2241" s="838" t="s">
        <v>3510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1644</v>
      </c>
      <c r="I2241" s="1236" t="s">
        <v>1540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2609</v>
      </c>
      <c r="C2242" s="838" t="s">
        <v>3510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1644</v>
      </c>
      <c r="I2242" s="1236" t="s">
        <v>2332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2608</v>
      </c>
      <c r="C2243" s="838" t="s">
        <v>3510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1644</v>
      </c>
      <c r="I2243" s="1236" t="s">
        <v>2332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2607</v>
      </c>
      <c r="C2244" s="838" t="s">
        <v>3510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1644</v>
      </c>
      <c r="I2244" s="1236" t="s">
        <v>2532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2606</v>
      </c>
      <c r="C2245" s="838" t="s">
        <v>3510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2605</v>
      </c>
      <c r="C2246" s="838" t="s">
        <v>3510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1644</v>
      </c>
      <c r="I2246" s="1236" t="s">
        <v>1733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2604</v>
      </c>
      <c r="C2247" s="838" t="s">
        <v>3510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1644</v>
      </c>
      <c r="I2247" s="1236" t="s">
        <v>1735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2603</v>
      </c>
      <c r="C2248" s="838" t="s">
        <v>3510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1644</v>
      </c>
      <c r="I2248" s="1236" t="s">
        <v>1540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2602</v>
      </c>
      <c r="C2249" s="838" t="s">
        <v>3510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1644</v>
      </c>
      <c r="I2249" s="1236" t="s">
        <v>1641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2601</v>
      </c>
      <c r="C2250" s="838" t="s">
        <v>3510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1644</v>
      </c>
      <c r="I2250" s="1236" t="s">
        <v>1540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2600</v>
      </c>
      <c r="C2251" s="838" t="s">
        <v>3510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1644</v>
      </c>
      <c r="I2251" s="1236" t="s">
        <v>1695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2599</v>
      </c>
      <c r="C2252" s="838" t="s">
        <v>3510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1644</v>
      </c>
      <c r="I2252" s="1236" t="s">
        <v>1540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2598</v>
      </c>
      <c r="C2253" s="838" t="s">
        <v>3510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1644</v>
      </c>
      <c r="I2253" s="1236" t="s">
        <v>1540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2597</v>
      </c>
      <c r="C2254" s="838" t="s">
        <v>3510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1644</v>
      </c>
      <c r="I2254" s="1236" t="s">
        <v>1734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2597</v>
      </c>
      <c r="C2255" s="838" t="s">
        <v>3510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1644</v>
      </c>
      <c r="I2255" s="1236" t="s">
        <v>1733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2596</v>
      </c>
      <c r="C2256" s="838" t="s">
        <v>3510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1644</v>
      </c>
      <c r="I2256" s="1236" t="s">
        <v>1540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2595</v>
      </c>
      <c r="C2257" s="838" t="s">
        <v>3510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3365</v>
      </c>
      <c r="I2257" s="1236" t="s">
        <v>1574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2594</v>
      </c>
      <c r="C2258" s="838" t="s">
        <v>3510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1644</v>
      </c>
      <c r="I2258" s="1236" t="s">
        <v>1695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2593</v>
      </c>
      <c r="C2259" s="838" t="s">
        <v>3510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1644</v>
      </c>
      <c r="I2259" s="1236" t="s">
        <v>1733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2593</v>
      </c>
      <c r="C2260" s="838" t="s">
        <v>3510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1644</v>
      </c>
      <c r="I2260" s="1236" t="s">
        <v>2302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2592</v>
      </c>
      <c r="C2261" s="838" t="s">
        <v>3510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3365</v>
      </c>
      <c r="I2261" s="1236" t="s">
        <v>1574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2591</v>
      </c>
      <c r="C2262" s="838" t="s">
        <v>3510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1644</v>
      </c>
      <c r="I2262" s="1236" t="s">
        <v>1693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2590</v>
      </c>
      <c r="C2263" s="838" t="s">
        <v>3510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2589</v>
      </c>
      <c r="C2264" s="838" t="s">
        <v>3510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3365</v>
      </c>
      <c r="I2264" s="1236" t="s">
        <v>1574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2588</v>
      </c>
      <c r="C2265" s="838" t="s">
        <v>3510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1644</v>
      </c>
      <c r="I2265" s="1236" t="s">
        <v>1734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2587</v>
      </c>
      <c r="C2266" s="838" t="s">
        <v>3510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1644</v>
      </c>
      <c r="I2266" s="1236" t="s">
        <v>1693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2586</v>
      </c>
      <c r="C2267" s="838" t="s">
        <v>3510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1644</v>
      </c>
      <c r="I2267" s="1236" t="s">
        <v>1540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2585</v>
      </c>
      <c r="C2268" s="838" t="s">
        <v>3510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1644</v>
      </c>
      <c r="I2268" s="1236" t="s">
        <v>1540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2585</v>
      </c>
      <c r="C2269" s="838" t="s">
        <v>3510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1644</v>
      </c>
      <c r="I2269" s="1236" t="s">
        <v>2333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2584</v>
      </c>
      <c r="C2270" s="838" t="s">
        <v>3510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1644</v>
      </c>
      <c r="I2270" s="1236" t="s">
        <v>1643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2583</v>
      </c>
      <c r="C2271" s="838" t="s">
        <v>3510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1644</v>
      </c>
      <c r="I2271" s="1236" t="s">
        <v>1735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2582</v>
      </c>
      <c r="C2272" s="838" t="s">
        <v>3510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1644</v>
      </c>
      <c r="I2272" s="1236" t="s">
        <v>1540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2581</v>
      </c>
      <c r="C2273" s="838" t="s">
        <v>3510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1644</v>
      </c>
      <c r="I2273" s="1236" t="s">
        <v>1693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2580</v>
      </c>
      <c r="C2274" s="838" t="s">
        <v>3510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1644</v>
      </c>
      <c r="I2274" s="1236" t="s">
        <v>1643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2579</v>
      </c>
      <c r="C2275" s="838" t="s">
        <v>3510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1644</v>
      </c>
      <c r="I2275" s="1236" t="s">
        <v>2302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2578</v>
      </c>
      <c r="C2276" s="838" t="s">
        <v>3510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1644</v>
      </c>
      <c r="I2276" s="1236" t="s">
        <v>1643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2577</v>
      </c>
      <c r="C2277" s="838" t="s">
        <v>3510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1644</v>
      </c>
      <c r="I2277" s="1236" t="s">
        <v>1540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2576</v>
      </c>
      <c r="C2278" s="838" t="s">
        <v>3510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1644</v>
      </c>
      <c r="I2278" s="1236" t="s">
        <v>2302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2575</v>
      </c>
      <c r="C2279" s="838" t="s">
        <v>3510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2574</v>
      </c>
      <c r="C2280" s="838" t="s">
        <v>3510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1644</v>
      </c>
      <c r="I2280" s="1236" t="s">
        <v>1734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2573</v>
      </c>
      <c r="C2281" s="838" t="s">
        <v>3510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1644</v>
      </c>
      <c r="I2281" s="1236" t="s">
        <v>1693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2572</v>
      </c>
      <c r="C2282" s="838" t="s">
        <v>3510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1644</v>
      </c>
      <c r="I2282" s="1236" t="s">
        <v>1694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2571</v>
      </c>
      <c r="C2283" s="838" t="s">
        <v>3510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2570</v>
      </c>
      <c r="C2284" s="838" t="s">
        <v>3510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1644</v>
      </c>
      <c r="I2284" s="1236" t="s">
        <v>2332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2569</v>
      </c>
      <c r="C2285" s="838" t="s">
        <v>3510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1644</v>
      </c>
      <c r="I2285" s="1236" t="s">
        <v>1769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2568</v>
      </c>
      <c r="C2286" s="838" t="s">
        <v>3510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1644</v>
      </c>
      <c r="I2286" s="1236" t="s">
        <v>2302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2567</v>
      </c>
      <c r="C2287" s="838" t="s">
        <v>3510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1644</v>
      </c>
      <c r="I2287" s="1236" t="s">
        <v>1540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2566</v>
      </c>
      <c r="C2288" s="838" t="s">
        <v>3510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1644</v>
      </c>
      <c r="I2288" s="1236" t="s">
        <v>2333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2565</v>
      </c>
      <c r="C2289" s="838" t="s">
        <v>3510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2564</v>
      </c>
      <c r="C2290" s="838" t="s">
        <v>3510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1644</v>
      </c>
      <c r="I2290" s="1236" t="s">
        <v>2532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2563</v>
      </c>
      <c r="C2291" s="838" t="s">
        <v>3510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1644</v>
      </c>
      <c r="I2291" s="1236" t="s">
        <v>1641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2562</v>
      </c>
      <c r="C2292" s="838" t="s">
        <v>3510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1644</v>
      </c>
      <c r="I2292" s="1236" t="s">
        <v>1733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2561</v>
      </c>
      <c r="C2293" s="838" t="s">
        <v>3510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1644</v>
      </c>
      <c r="I2293" s="1236" t="s">
        <v>1695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2560</v>
      </c>
      <c r="C2294" s="838" t="s">
        <v>3510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1644</v>
      </c>
      <c r="I2294" s="1236" t="s">
        <v>1695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2559</v>
      </c>
      <c r="C2295" s="838" t="s">
        <v>3510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1644</v>
      </c>
      <c r="I2295" s="1236" t="s">
        <v>2272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2558</v>
      </c>
      <c r="C2296" s="838" t="s">
        <v>3510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1644</v>
      </c>
      <c r="I2296" s="1236" t="s">
        <v>1540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2557</v>
      </c>
      <c r="C2297" s="838" t="s">
        <v>3510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1644</v>
      </c>
      <c r="I2297" s="1236" t="s">
        <v>2302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2556</v>
      </c>
      <c r="C2298" s="838" t="s">
        <v>3510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2555</v>
      </c>
      <c r="C2299" s="838" t="s">
        <v>3510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1644</v>
      </c>
      <c r="I2299" s="1236" t="s">
        <v>2302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2554</v>
      </c>
      <c r="C2300" s="838" t="s">
        <v>3510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1644</v>
      </c>
      <c r="I2300" s="1236" t="s">
        <v>1734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2638</v>
      </c>
      <c r="C2301" s="838" t="s">
        <v>3510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2122</v>
      </c>
      <c r="I2301" s="1237" t="s">
        <v>1769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2638</v>
      </c>
      <c r="C2302" s="838" t="s">
        <v>3510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2122</v>
      </c>
      <c r="I2302" s="1237" t="s">
        <v>1769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2640</v>
      </c>
      <c r="C2303" s="838" t="s">
        <v>3510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2122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2637</v>
      </c>
      <c r="C2304" s="838" t="s">
        <v>3510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2122</v>
      </c>
      <c r="I2304" s="1237" t="s">
        <v>2123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2636</v>
      </c>
      <c r="C2305" s="838" t="s">
        <v>3510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2122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2635</v>
      </c>
      <c r="C2306" s="838" t="s">
        <v>3510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1644</v>
      </c>
      <c r="I2306" s="1237" t="s">
        <v>1643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2635</v>
      </c>
      <c r="C2307" s="838" t="s">
        <v>3510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2634</v>
      </c>
      <c r="C2308" s="838" t="s">
        <v>3510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2122</v>
      </c>
      <c r="I2308" s="1237" t="s">
        <v>2123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2633</v>
      </c>
      <c r="C2309" s="838" t="s">
        <v>3510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2122</v>
      </c>
      <c r="I2309" s="1237" t="s">
        <v>1769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2631</v>
      </c>
      <c r="C2310" s="838" t="s">
        <v>3510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2122</v>
      </c>
      <c r="I2310" s="1237" t="s">
        <v>2123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2632</v>
      </c>
      <c r="C2311" s="838" t="s">
        <v>3510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2122</v>
      </c>
      <c r="I2311" s="1237" t="s">
        <v>2639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2630</v>
      </c>
      <c r="C2312" s="838" t="s">
        <v>3510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1644</v>
      </c>
      <c r="I2312" s="1237" t="s">
        <v>1693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2629</v>
      </c>
      <c r="C2313" s="838" t="s">
        <v>3510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2122</v>
      </c>
      <c r="I2313" s="1237" t="s">
        <v>2123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2628</v>
      </c>
      <c r="C2314" s="838" t="s">
        <v>3510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1818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2627</v>
      </c>
      <c r="C2315" s="838" t="s">
        <v>3510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2122</v>
      </c>
      <c r="I2315" s="1237" t="s">
        <v>2639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2626</v>
      </c>
      <c r="C2316" s="838" t="s">
        <v>3510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1644</v>
      </c>
      <c r="I2316" s="1237" t="s">
        <v>2272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2625</v>
      </c>
      <c r="C2317" s="838" t="s">
        <v>3510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3365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2624</v>
      </c>
      <c r="C2318" s="838" t="s">
        <v>3510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1644</v>
      </c>
      <c r="I2318" s="1237" t="s">
        <v>1540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2623</v>
      </c>
      <c r="C2319" s="838" t="s">
        <v>3510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2122</v>
      </c>
      <c r="I2319" s="1237" t="s">
        <v>2123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2689</v>
      </c>
      <c r="C2320" s="838" t="s">
        <v>3510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2122</v>
      </c>
      <c r="I2320" s="1238" t="s">
        <v>2125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2688</v>
      </c>
      <c r="C2321" s="838" t="s">
        <v>3510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2122</v>
      </c>
      <c r="I2321" s="1237" t="s">
        <v>1769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2687</v>
      </c>
      <c r="C2322" s="838" t="s">
        <v>3510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2122</v>
      </c>
      <c r="I2322" s="1237" t="s">
        <v>1769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2686</v>
      </c>
      <c r="C2323" s="838" t="s">
        <v>3510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2122</v>
      </c>
      <c r="I2323" s="1237" t="s">
        <v>2123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2685</v>
      </c>
      <c r="C2324" s="838" t="s">
        <v>3510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1644</v>
      </c>
      <c r="I2324" s="1238" t="s">
        <v>2532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2684</v>
      </c>
      <c r="C2325" s="838" t="s">
        <v>3510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1644</v>
      </c>
      <c r="I2325" s="1238" t="s">
        <v>1540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2683</v>
      </c>
      <c r="C2326" s="838" t="s">
        <v>3510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1644</v>
      </c>
      <c r="I2326" s="1238" t="s">
        <v>1641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2682</v>
      </c>
      <c r="C2327" s="838" t="s">
        <v>3510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1644</v>
      </c>
      <c r="I2327" s="1238" t="s">
        <v>2302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2681</v>
      </c>
      <c r="C2328" s="838" t="s">
        <v>3510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2690</v>
      </c>
      <c r="I2328" s="1238" t="s">
        <v>1537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2680</v>
      </c>
      <c r="C2329" s="838" t="s">
        <v>3510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2690</v>
      </c>
      <c r="I2329" s="1238" t="s">
        <v>1537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2679</v>
      </c>
      <c r="C2330" s="838" t="s">
        <v>3510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2690</v>
      </c>
      <c r="I2330" s="1238" t="s">
        <v>1537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2678</v>
      </c>
      <c r="C2331" s="838" t="s">
        <v>3510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2690</v>
      </c>
      <c r="I2331" s="1238" t="s">
        <v>1537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2678</v>
      </c>
      <c r="C2332" s="838" t="s">
        <v>3510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2122</v>
      </c>
      <c r="I2332" s="1238" t="s">
        <v>2123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2677</v>
      </c>
      <c r="C2333" s="838" t="s">
        <v>3510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2690</v>
      </c>
      <c r="I2333" s="1238" t="s">
        <v>2691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2787</v>
      </c>
      <c r="C2334" s="838" t="s">
        <v>3510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2122</v>
      </c>
      <c r="I2334" s="1239" t="s">
        <v>2123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2780</v>
      </c>
      <c r="C2335" s="838" t="s">
        <v>3510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1644</v>
      </c>
      <c r="I2335" s="1239" t="s">
        <v>1540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2779</v>
      </c>
      <c r="C2336" s="838" t="s">
        <v>3510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1644</v>
      </c>
      <c r="I2336" s="1239" t="s">
        <v>1540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2778</v>
      </c>
      <c r="C2337" s="838" t="s">
        <v>3510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2122</v>
      </c>
      <c r="I2337" s="1239" t="s">
        <v>2123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2777</v>
      </c>
      <c r="C2338" s="838" t="s">
        <v>3510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2690</v>
      </c>
      <c r="I2338" s="1238" t="s">
        <v>1537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2776</v>
      </c>
      <c r="C2339" s="838" t="s">
        <v>3510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2122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2775</v>
      </c>
      <c r="C2340" s="838" t="s">
        <v>3510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2122</v>
      </c>
      <c r="I2340" s="1239" t="s">
        <v>1769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2774</v>
      </c>
      <c r="C2341" s="838" t="s">
        <v>3510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2122</v>
      </c>
      <c r="I2341" s="1239" t="s">
        <v>1769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2773</v>
      </c>
      <c r="C2342" s="838" t="s">
        <v>3510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2122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2772</v>
      </c>
      <c r="C2343" s="838" t="s">
        <v>3510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2122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2771</v>
      </c>
      <c r="C2344" s="838" t="s">
        <v>3510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2690</v>
      </c>
      <c r="I2344" s="1239" t="s">
        <v>2781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2770</v>
      </c>
      <c r="C2345" s="838" t="s">
        <v>3510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2690</v>
      </c>
      <c r="I2345" s="1239" t="s">
        <v>2781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2769</v>
      </c>
      <c r="C2346" s="838" t="s">
        <v>3510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2122</v>
      </c>
      <c r="I2346" s="1239" t="s">
        <v>1769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2768</v>
      </c>
      <c r="C2347" s="838" t="s">
        <v>3510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2690</v>
      </c>
      <c r="I2347" s="1238" t="s">
        <v>1537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2767</v>
      </c>
      <c r="C2348" s="838" t="s">
        <v>3510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2690</v>
      </c>
      <c r="I2348" s="1239" t="s">
        <v>2782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2766</v>
      </c>
      <c r="C2349" s="838" t="s">
        <v>3510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2690</v>
      </c>
      <c r="I2349" s="1239" t="s">
        <v>2784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2765</v>
      </c>
      <c r="C2350" s="838" t="s">
        <v>3510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2690</v>
      </c>
      <c r="I2350" s="1239" t="s">
        <v>2783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2764</v>
      </c>
      <c r="C2351" s="838" t="s">
        <v>3510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2122</v>
      </c>
      <c r="I2351" s="1239" t="s">
        <v>1769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2763</v>
      </c>
      <c r="C2352" s="838" t="s">
        <v>3510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2762</v>
      </c>
      <c r="C2353" s="838" t="s">
        <v>3510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2122</v>
      </c>
      <c r="I2353" s="1239" t="s">
        <v>1769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2761</v>
      </c>
      <c r="C2354" s="838" t="s">
        <v>3510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2690</v>
      </c>
      <c r="I2354" s="1239" t="s">
        <v>2784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2760</v>
      </c>
      <c r="C2355" s="838" t="s">
        <v>3510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2122</v>
      </c>
      <c r="I2355" s="1239" t="s">
        <v>1769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2759</v>
      </c>
      <c r="C2356" s="838" t="s">
        <v>3510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2690</v>
      </c>
      <c r="I2356" s="1238" t="s">
        <v>1537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2759</v>
      </c>
      <c r="C2357" s="838" t="s">
        <v>3510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1644</v>
      </c>
      <c r="I2357" s="1239" t="s">
        <v>1734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2758</v>
      </c>
      <c r="C2358" s="838" t="s">
        <v>3510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2757</v>
      </c>
      <c r="C2359" s="838" t="s">
        <v>3510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2122</v>
      </c>
      <c r="I2359" s="1239" t="s">
        <v>2125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2756</v>
      </c>
      <c r="C2360" s="838" t="s">
        <v>3510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2690</v>
      </c>
      <c r="I2360" s="1239" t="s">
        <v>2691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2756</v>
      </c>
      <c r="C2361" s="838" t="s">
        <v>3510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2690</v>
      </c>
      <c r="I2361" s="1239" t="s">
        <v>1537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2755</v>
      </c>
      <c r="C2362" s="838" t="s">
        <v>3510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1644</v>
      </c>
      <c r="I2362" s="1239" t="s">
        <v>1540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2754</v>
      </c>
      <c r="C2363" s="838" t="s">
        <v>3510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2122</v>
      </c>
      <c r="I2363" s="1239" t="s">
        <v>1769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2753</v>
      </c>
      <c r="C2364" s="838" t="s">
        <v>3510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2122</v>
      </c>
      <c r="I2364" s="1239" t="s">
        <v>1769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2752</v>
      </c>
      <c r="C2365" s="838" t="s">
        <v>3510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2006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2752</v>
      </c>
      <c r="C2366" s="838" t="s">
        <v>3510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2122</v>
      </c>
      <c r="I2366" s="1239" t="s">
        <v>2125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2751</v>
      </c>
      <c r="C2367" s="838" t="s">
        <v>3510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1644</v>
      </c>
      <c r="I2367" s="1239" t="s">
        <v>1540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2750</v>
      </c>
      <c r="C2368" s="838" t="s">
        <v>3510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2122</v>
      </c>
      <c r="I2368" s="1239" t="s">
        <v>2782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2749</v>
      </c>
      <c r="C2369" s="838" t="s">
        <v>3510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1644</v>
      </c>
      <c r="I2369" s="1239" t="s">
        <v>1734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2748</v>
      </c>
      <c r="C2370" s="838" t="s">
        <v>3510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1644</v>
      </c>
      <c r="I2370" s="1239" t="s">
        <v>1643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1923</v>
      </c>
      <c r="C2371" s="838" t="s">
        <v>3510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2122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2747</v>
      </c>
      <c r="C2372" s="838" t="s">
        <v>3510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2122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2746</v>
      </c>
      <c r="C2373" s="838" t="s">
        <v>3510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2690</v>
      </c>
      <c r="I2373" s="1239" t="s">
        <v>2123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2745</v>
      </c>
      <c r="C2374" s="838" t="s">
        <v>3510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2690</v>
      </c>
      <c r="I2374" s="1239" t="s">
        <v>1537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2744</v>
      </c>
      <c r="C2375" s="838" t="s">
        <v>3510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2690</v>
      </c>
      <c r="I2375" s="1239" t="s">
        <v>1537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2743</v>
      </c>
      <c r="C2376" s="838" t="s">
        <v>3510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2122</v>
      </c>
      <c r="I2376" s="1239" t="s">
        <v>2123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2742</v>
      </c>
      <c r="C2377" s="838" t="s">
        <v>3510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3365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2785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2741</v>
      </c>
      <c r="C2378" s="838" t="s">
        <v>3510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2834</v>
      </c>
      <c r="C2379" s="838" t="s">
        <v>3510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2122</v>
      </c>
      <c r="I2379" s="1239" t="s">
        <v>2123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2833</v>
      </c>
      <c r="C2380" s="838" t="s">
        <v>3510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1644</v>
      </c>
      <c r="I2380" s="1240" t="s">
        <v>1751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2832</v>
      </c>
      <c r="C2381" s="838" t="s">
        <v>3510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2122</v>
      </c>
      <c r="I2381" s="1239" t="s">
        <v>2123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2831</v>
      </c>
      <c r="C2382" s="838" t="s">
        <v>3510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2122</v>
      </c>
      <c r="I2382" s="1240" t="s">
        <v>1769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2830</v>
      </c>
      <c r="C2383" s="838" t="s">
        <v>3510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2122</v>
      </c>
      <c r="I2383" s="1240" t="s">
        <v>1769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2829</v>
      </c>
      <c r="C2384" s="838" t="s">
        <v>3510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2828</v>
      </c>
      <c r="C2385" s="838" t="s">
        <v>3510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2122</v>
      </c>
      <c r="I2385" s="1240" t="s">
        <v>1769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2827</v>
      </c>
      <c r="C2386" s="838" t="s">
        <v>3510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1644</v>
      </c>
      <c r="I2386" s="1239" t="s">
        <v>1540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2826</v>
      </c>
      <c r="C2387" s="838" t="s">
        <v>3510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1644</v>
      </c>
      <c r="I2387" s="1239" t="s">
        <v>1540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2825</v>
      </c>
      <c r="C2388" s="838" t="s">
        <v>3510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1644</v>
      </c>
      <c r="I2388" s="1240" t="s">
        <v>2333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2824</v>
      </c>
      <c r="C2389" s="838" t="s">
        <v>3510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2122</v>
      </c>
      <c r="I2389" s="1240" t="s">
        <v>1769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2823</v>
      </c>
      <c r="C2390" s="838" t="s">
        <v>3510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2822</v>
      </c>
      <c r="C2391" s="838" t="s">
        <v>3510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3365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2821</v>
      </c>
      <c r="C2392" s="838" t="s">
        <v>3510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1644</v>
      </c>
      <c r="I2392" s="1240" t="s">
        <v>1693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2820</v>
      </c>
      <c r="C2393" s="838" t="s">
        <v>3510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3365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2819</v>
      </c>
      <c r="C2394" s="838" t="s">
        <v>3510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2818</v>
      </c>
      <c r="C2395" s="838" t="s">
        <v>3510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1644</v>
      </c>
      <c r="I2395" s="1240" t="s">
        <v>1641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2817</v>
      </c>
      <c r="C2396" s="838" t="s">
        <v>3510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1644</v>
      </c>
      <c r="I2396" s="1240" t="s">
        <v>1693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2816</v>
      </c>
      <c r="C2397" s="838" t="s">
        <v>3510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2122</v>
      </c>
      <c r="I2397" s="1239" t="s">
        <v>2123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2815</v>
      </c>
      <c r="C2398" s="838" t="s">
        <v>3510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2814</v>
      </c>
      <c r="C2399" s="838" t="s">
        <v>3510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2122</v>
      </c>
      <c r="I2399" s="1239" t="s">
        <v>2123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2813</v>
      </c>
      <c r="C2400" s="838" t="s">
        <v>3510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2122</v>
      </c>
      <c r="I2400" s="1240" t="s">
        <v>1769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2847</v>
      </c>
      <c r="C2401" s="838" t="s">
        <v>3510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2846</v>
      </c>
      <c r="C2402" s="838" t="s">
        <v>3510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1644</v>
      </c>
      <c r="I2402" s="1240" t="s">
        <v>1751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2845</v>
      </c>
      <c r="C2403" s="838" t="s">
        <v>3510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1644</v>
      </c>
      <c r="I2403" s="1240" t="s">
        <v>2302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2844</v>
      </c>
      <c r="C2404" s="838" t="s">
        <v>3510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1644</v>
      </c>
      <c r="I2404" s="1240" t="s">
        <v>2272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2843</v>
      </c>
      <c r="C2405" s="838" t="s">
        <v>3510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1644</v>
      </c>
      <c r="I2405" s="1240" t="s">
        <v>1540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2842</v>
      </c>
      <c r="C2406" s="838" t="s">
        <v>3510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1644</v>
      </c>
      <c r="I2406" s="1240" t="s">
        <v>2272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2841</v>
      </c>
      <c r="C2407" s="838" t="s">
        <v>3510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1644</v>
      </c>
      <c r="I2407" s="1240" t="s">
        <v>1540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2840</v>
      </c>
      <c r="C2408" s="838" t="s">
        <v>3510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1644</v>
      </c>
      <c r="I2408" s="1240" t="s">
        <v>1734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2839</v>
      </c>
      <c r="C2409" s="838" t="s">
        <v>3510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1644</v>
      </c>
      <c r="I2409" s="1240" t="s">
        <v>1641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2838</v>
      </c>
      <c r="C2410" s="838" t="s">
        <v>3510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3365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2126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2837</v>
      </c>
      <c r="C2411" s="838" t="s">
        <v>3510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2848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2836</v>
      </c>
      <c r="C2412" s="838" t="s">
        <v>3510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1644</v>
      </c>
      <c r="I2412" s="1240" t="s">
        <v>2849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2835</v>
      </c>
      <c r="C2413" s="838" t="s">
        <v>3510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3365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3632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2913</v>
      </c>
      <c r="C2414" s="838" t="s">
        <v>3510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1644</v>
      </c>
      <c r="I2414" s="1240" t="s">
        <v>1734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2912</v>
      </c>
      <c r="C2415" s="838" t="s">
        <v>3510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1644</v>
      </c>
      <c r="I2415" s="1240" t="s">
        <v>1694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2911</v>
      </c>
      <c r="C2416" s="838" t="s">
        <v>3510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1644</v>
      </c>
      <c r="I2416" s="1433" t="s">
        <v>4682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2910</v>
      </c>
      <c r="C2417" s="838" t="s">
        <v>3510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1644</v>
      </c>
      <c r="I2417" s="1240" t="s">
        <v>2915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2909</v>
      </c>
      <c r="C2418" s="838" t="s">
        <v>3510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1644</v>
      </c>
      <c r="I2418" s="1240" t="s">
        <v>1540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2908</v>
      </c>
      <c r="C2419" s="838" t="s">
        <v>3510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1644</v>
      </c>
      <c r="I2419" s="1240" t="s">
        <v>1693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2908</v>
      </c>
      <c r="C2420" s="838" t="s">
        <v>3510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1644</v>
      </c>
      <c r="I2420" s="1240" t="s">
        <v>2915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2907</v>
      </c>
      <c r="C2421" s="838" t="s">
        <v>3510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1644</v>
      </c>
      <c r="I2421" s="1240" t="s">
        <v>1540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2906</v>
      </c>
      <c r="C2422" s="838" t="s">
        <v>3510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1644</v>
      </c>
      <c r="I2422" s="1240" t="s">
        <v>2302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2905</v>
      </c>
      <c r="C2423" s="838" t="s">
        <v>3510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1644</v>
      </c>
      <c r="I2423" s="1240" t="s">
        <v>2849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2904</v>
      </c>
      <c r="C2424" s="838" t="s">
        <v>3510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2903</v>
      </c>
      <c r="C2425" s="838" t="s">
        <v>3510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1644</v>
      </c>
      <c r="I2425" s="1240" t="s">
        <v>2302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2902</v>
      </c>
      <c r="C2426" s="838" t="s">
        <v>3510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1644</v>
      </c>
      <c r="I2426" s="1240" t="s">
        <v>2302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2901</v>
      </c>
      <c r="C2427" s="838" t="s">
        <v>3510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1644</v>
      </c>
      <c r="I2427" s="1240" t="s">
        <v>1751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2900</v>
      </c>
      <c r="C2428" s="838" t="s">
        <v>3510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1644</v>
      </c>
      <c r="I2428" s="1240" t="s">
        <v>1540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2899</v>
      </c>
      <c r="C2429" s="838" t="s">
        <v>3510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1644</v>
      </c>
      <c r="I2429" s="1240" t="s">
        <v>1641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2898</v>
      </c>
      <c r="C2430" s="838" t="s">
        <v>3510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1644</v>
      </c>
      <c r="I2430" s="1240" t="s">
        <v>1540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2897</v>
      </c>
      <c r="C2431" s="838" t="s">
        <v>3510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1644</v>
      </c>
      <c r="I2431" s="1240" t="s">
        <v>1540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2896</v>
      </c>
      <c r="C2432" s="838" t="s">
        <v>3510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1644</v>
      </c>
      <c r="I2432" s="1240" t="s">
        <v>1769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2895</v>
      </c>
      <c r="C2433" s="838" t="s">
        <v>3510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1644</v>
      </c>
      <c r="I2433" s="1240" t="s">
        <v>1693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2894</v>
      </c>
      <c r="C2434" s="838" t="s">
        <v>3510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1644</v>
      </c>
      <c r="I2434" s="1240" t="s">
        <v>1734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2893</v>
      </c>
      <c r="C2435" s="838" t="s">
        <v>3510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1644</v>
      </c>
      <c r="I2435" s="1240" t="s">
        <v>1734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2892</v>
      </c>
      <c r="C2436" s="838" t="s">
        <v>3510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1818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2891</v>
      </c>
      <c r="C2437" s="838" t="s">
        <v>3510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1644</v>
      </c>
      <c r="I2437" s="1240" t="s">
        <v>2332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2890</v>
      </c>
      <c r="C2438" s="838" t="s">
        <v>3510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1644</v>
      </c>
      <c r="I2438" s="1433" t="s">
        <v>4682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2889</v>
      </c>
      <c r="C2439" s="838" t="s">
        <v>3510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1644</v>
      </c>
      <c r="I2439" s="1240" t="s">
        <v>2849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2888</v>
      </c>
      <c r="C2440" s="838" t="s">
        <v>3510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1644</v>
      </c>
      <c r="I2440" s="1240" t="s">
        <v>2849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1565</v>
      </c>
      <c r="C2441" s="838" t="s">
        <v>3510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1564</v>
      </c>
      <c r="C2442" s="838" t="s">
        <v>3510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1564</v>
      </c>
      <c r="C2443" s="838" t="s">
        <v>3510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1537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2887</v>
      </c>
      <c r="C2444" s="838" t="s">
        <v>3510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1644</v>
      </c>
      <c r="I2444" s="1240" t="s">
        <v>1540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2886</v>
      </c>
      <c r="C2445" s="838" t="s">
        <v>3510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2885</v>
      </c>
      <c r="C2446" s="838" t="s">
        <v>3510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1644</v>
      </c>
      <c r="I2446" s="1240" t="s">
        <v>2332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2884</v>
      </c>
      <c r="C2447" s="838" t="s">
        <v>3510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1644</v>
      </c>
      <c r="I2447" s="1240" t="s">
        <v>1540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2883</v>
      </c>
      <c r="C2448" s="838" t="s">
        <v>3510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2882</v>
      </c>
      <c r="C2449" s="838" t="s">
        <v>3510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1644</v>
      </c>
      <c r="I2449" s="1240" t="s">
        <v>1693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2881</v>
      </c>
      <c r="C2450" s="838" t="s">
        <v>3510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1644</v>
      </c>
      <c r="I2450" s="1240" t="s">
        <v>2916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2880</v>
      </c>
      <c r="C2451" s="838" t="s">
        <v>3510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1644</v>
      </c>
      <c r="I2451" s="1240" t="s">
        <v>1693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2879</v>
      </c>
      <c r="C2452" s="838" t="s">
        <v>3510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1644</v>
      </c>
      <c r="I2452" s="1240" t="s">
        <v>2302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2878</v>
      </c>
      <c r="C2453" s="838" t="s">
        <v>3510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2878</v>
      </c>
      <c r="C2454" s="838" t="s">
        <v>3510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1644</v>
      </c>
      <c r="I2454" s="1240" t="s">
        <v>2849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2877</v>
      </c>
      <c r="C2455" s="838" t="s">
        <v>3510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1644</v>
      </c>
      <c r="I2455" s="1240" t="s">
        <v>1695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2876</v>
      </c>
      <c r="C2456" s="838" t="s">
        <v>3510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1644</v>
      </c>
      <c r="I2456" s="1240" t="s">
        <v>2915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2875</v>
      </c>
      <c r="C2457" s="838" t="s">
        <v>3510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1644</v>
      </c>
      <c r="I2457" s="1240" t="s">
        <v>2916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2874</v>
      </c>
      <c r="C2458" s="838" t="s">
        <v>3510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1644</v>
      </c>
      <c r="I2458" s="1240" t="s">
        <v>1733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2873</v>
      </c>
      <c r="C2459" s="838" t="s">
        <v>3510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1644</v>
      </c>
      <c r="I2459" s="1433" t="s">
        <v>4682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2872</v>
      </c>
      <c r="C2460" s="838" t="s">
        <v>3510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1644</v>
      </c>
      <c r="I2460" s="1240" t="s">
        <v>1641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2871</v>
      </c>
      <c r="C2461" s="838" t="s">
        <v>3510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1644</v>
      </c>
      <c r="I2461" s="1240" t="s">
        <v>1694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2870</v>
      </c>
      <c r="C2462" s="838" t="s">
        <v>3510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3365</v>
      </c>
      <c r="I2462" s="1240" t="s">
        <v>1574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1358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2869</v>
      </c>
      <c r="C2463" s="838" t="s">
        <v>3510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2868</v>
      </c>
      <c r="C2464" s="838" t="s">
        <v>3510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1644</v>
      </c>
      <c r="I2464" s="1240" t="s">
        <v>1693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2867</v>
      </c>
      <c r="C2465" s="838" t="s">
        <v>3510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2919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2866</v>
      </c>
      <c r="C2466" s="838" t="s">
        <v>3510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1574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1358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2865</v>
      </c>
      <c r="C2467" s="838" t="s">
        <v>3510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4316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1358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2864</v>
      </c>
      <c r="C2468" s="838" t="s">
        <v>3510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2863</v>
      </c>
      <c r="C2469" s="838" t="s">
        <v>3510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1644</v>
      </c>
      <c r="I2469" s="1240" t="s">
        <v>1693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2862</v>
      </c>
      <c r="C2470" s="838" t="s">
        <v>3510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1644</v>
      </c>
      <c r="I2470" s="1240" t="s">
        <v>1540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2861</v>
      </c>
      <c r="C2471" s="838" t="s">
        <v>3510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2860</v>
      </c>
      <c r="C2472" s="838" t="s">
        <v>3510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1644</v>
      </c>
      <c r="I2472" s="1240" t="s">
        <v>1769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2858</v>
      </c>
      <c r="C2473" s="838" t="s">
        <v>3510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1644</v>
      </c>
      <c r="I2473" s="1240" t="s">
        <v>1733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2859</v>
      </c>
      <c r="C2474" s="838" t="s">
        <v>3510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1644</v>
      </c>
      <c r="I2474" s="1240" t="s">
        <v>2849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2857</v>
      </c>
      <c r="C2475" s="838" t="s">
        <v>3510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1644</v>
      </c>
      <c r="I2475" s="1240" t="s">
        <v>1540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2857</v>
      </c>
      <c r="C2476" s="838" t="s">
        <v>3510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1644</v>
      </c>
      <c r="I2476" s="1240" t="s">
        <v>1694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2856</v>
      </c>
      <c r="C2477" s="838" t="s">
        <v>3510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1818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2855</v>
      </c>
      <c r="C2478" s="838" t="s">
        <v>3510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1644</v>
      </c>
      <c r="I2478" s="1240" t="s">
        <v>1540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2984</v>
      </c>
      <c r="C2479" s="838" t="s">
        <v>3510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1644</v>
      </c>
      <c r="I2479" s="1240" t="s">
        <v>1641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2983</v>
      </c>
      <c r="C2480" s="838" t="s">
        <v>3510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1644</v>
      </c>
      <c r="I2480" s="1240" t="s">
        <v>2332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2982</v>
      </c>
      <c r="C2481" s="838" t="s">
        <v>3510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1644</v>
      </c>
      <c r="I2481" s="1240" t="s">
        <v>1540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2981</v>
      </c>
      <c r="C2482" s="838" t="s">
        <v>3510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1644</v>
      </c>
      <c r="I2482" s="1240" t="s">
        <v>2272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2980</v>
      </c>
      <c r="C2483" s="838" t="s">
        <v>3510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1644</v>
      </c>
      <c r="I2483" s="1240" t="s">
        <v>2915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2979</v>
      </c>
      <c r="C2484" s="838" t="s">
        <v>3510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1644</v>
      </c>
      <c r="I2484" s="1240" t="s">
        <v>1540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2978</v>
      </c>
      <c r="C2485" s="838" t="s">
        <v>3510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1644</v>
      </c>
      <c r="I2485" s="1240" t="s">
        <v>2849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2977</v>
      </c>
      <c r="C2486" s="838" t="s">
        <v>3510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1644</v>
      </c>
      <c r="I2486" s="1240" t="s">
        <v>1643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2976</v>
      </c>
      <c r="C2487" s="838" t="s">
        <v>3510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1644</v>
      </c>
      <c r="I2487" s="1240" t="s">
        <v>1540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2975</v>
      </c>
      <c r="C2488" s="838" t="s">
        <v>3510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1644</v>
      </c>
      <c r="I2488" s="1240" t="s">
        <v>2849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2974</v>
      </c>
      <c r="C2489" s="838" t="s">
        <v>3510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1644</v>
      </c>
      <c r="I2489" s="1240" t="s">
        <v>1643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2973</v>
      </c>
      <c r="C2490" s="838" t="s">
        <v>3510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1644</v>
      </c>
      <c r="I2490" s="1240" t="s">
        <v>1769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2972</v>
      </c>
      <c r="C2491" s="838" t="s">
        <v>3510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1644</v>
      </c>
      <c r="I2491" s="1240" t="s">
        <v>1540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2971</v>
      </c>
      <c r="C2492" s="838" t="s">
        <v>3510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1644</v>
      </c>
      <c r="I2492" s="1240" t="s">
        <v>1540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2970</v>
      </c>
      <c r="C2493" s="838" t="s">
        <v>3510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1644</v>
      </c>
      <c r="I2493" s="1240" t="s">
        <v>1540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2969</v>
      </c>
      <c r="C2494" s="838" t="s">
        <v>3510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1644</v>
      </c>
      <c r="I2494" s="1240" t="s">
        <v>1643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2968</v>
      </c>
      <c r="C2495" s="838" t="s">
        <v>3510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1644</v>
      </c>
      <c r="I2495" s="1240" t="s">
        <v>1695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2967</v>
      </c>
      <c r="C2496" s="838" t="s">
        <v>3510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1644</v>
      </c>
      <c r="I2496" s="1240" t="s">
        <v>1540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2966</v>
      </c>
      <c r="C2497" s="838" t="s">
        <v>3510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1644</v>
      </c>
      <c r="I2497" s="1240" t="s">
        <v>2849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2965</v>
      </c>
      <c r="C2498" s="838" t="s">
        <v>3510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1644</v>
      </c>
      <c r="I2498" s="1240" t="s">
        <v>1540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2964</v>
      </c>
      <c r="C2499" s="838" t="s">
        <v>3510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2963</v>
      </c>
      <c r="C2500" s="838" t="s">
        <v>3510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1644</v>
      </c>
      <c r="I2500" s="1240" t="s">
        <v>1641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2962</v>
      </c>
      <c r="C2501" s="838" t="s">
        <v>3510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1644</v>
      </c>
      <c r="I2501" s="1240" t="s">
        <v>1641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2961</v>
      </c>
      <c r="C2502" s="838" t="s">
        <v>3510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1644</v>
      </c>
      <c r="I2502" s="1240" t="s">
        <v>1641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2960</v>
      </c>
      <c r="C2503" s="838" t="s">
        <v>3510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1644</v>
      </c>
      <c r="I2503" s="1240" t="s">
        <v>1643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2959</v>
      </c>
      <c r="C2504" s="838" t="s">
        <v>3510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2959</v>
      </c>
      <c r="C2505" s="838" t="s">
        <v>3510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1644</v>
      </c>
      <c r="I2505" s="1240" t="s">
        <v>1643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2958</v>
      </c>
      <c r="C2506" s="838" t="s">
        <v>3510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1644</v>
      </c>
      <c r="I2506" s="1240" t="s">
        <v>2916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2957</v>
      </c>
      <c r="C2507" s="838" t="s">
        <v>3510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1644</v>
      </c>
      <c r="I2507" s="1240" t="s">
        <v>2333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2956</v>
      </c>
      <c r="C2508" s="838" t="s">
        <v>3510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1644</v>
      </c>
      <c r="I2508" s="1240" t="s">
        <v>1540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2955</v>
      </c>
      <c r="C2509" s="838" t="s">
        <v>3510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1644</v>
      </c>
      <c r="I2509" s="1240" t="s">
        <v>1540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2954</v>
      </c>
      <c r="C2510" s="838" t="s">
        <v>3510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1644</v>
      </c>
      <c r="I2510" s="1433" t="s">
        <v>4682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2953</v>
      </c>
      <c r="C2511" s="838" t="s">
        <v>3510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1644</v>
      </c>
      <c r="I2511" s="1240" t="s">
        <v>1694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2952</v>
      </c>
      <c r="C2512" s="838" t="s">
        <v>3510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1644</v>
      </c>
      <c r="I2512" s="1240" t="s">
        <v>1751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2951</v>
      </c>
      <c r="C2513" s="838" t="s">
        <v>3510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1818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2950</v>
      </c>
      <c r="C2514" s="838" t="s">
        <v>3510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1644</v>
      </c>
      <c r="I2514" s="1240" t="s">
        <v>2302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2949</v>
      </c>
      <c r="C2515" s="838" t="s">
        <v>3510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1644</v>
      </c>
      <c r="I2515" s="1240" t="s">
        <v>1734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2949</v>
      </c>
      <c r="C2516" s="838" t="s">
        <v>3510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1644</v>
      </c>
      <c r="I2516" s="1240" t="s">
        <v>2302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2948</v>
      </c>
      <c r="C2517" s="838" t="s">
        <v>3510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3365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1212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2947</v>
      </c>
      <c r="C2518" s="838" t="s">
        <v>3510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1644</v>
      </c>
      <c r="I2518" s="1240" t="s">
        <v>1734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2946</v>
      </c>
      <c r="C2519" s="838" t="s">
        <v>3510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1644</v>
      </c>
      <c r="I2519" s="1433" t="s">
        <v>4682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2945</v>
      </c>
      <c r="C2520" s="838" t="s">
        <v>3510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1644</v>
      </c>
      <c r="I2520" s="1240" t="s">
        <v>1769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2944</v>
      </c>
      <c r="C2521" s="838" t="s">
        <v>3510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1644</v>
      </c>
      <c r="I2521" s="1240" t="s">
        <v>1641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2943</v>
      </c>
      <c r="C2522" s="838" t="s">
        <v>3510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2942</v>
      </c>
      <c r="C2523" s="838" t="s">
        <v>3510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1644</v>
      </c>
      <c r="I2523" s="1240" t="s">
        <v>1540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2941</v>
      </c>
      <c r="C2524" s="838" t="s">
        <v>3510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1644</v>
      </c>
      <c r="I2524" s="1433" t="s">
        <v>4682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2940</v>
      </c>
      <c r="C2525" s="838" t="s">
        <v>3510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2939</v>
      </c>
      <c r="C2526" s="838" t="s">
        <v>3510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1644</v>
      </c>
      <c r="I2526" s="1240" t="s">
        <v>2915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2938</v>
      </c>
      <c r="C2527" s="838" t="s">
        <v>3510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1644</v>
      </c>
      <c r="I2527" s="1240" t="s">
        <v>2302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2937</v>
      </c>
      <c r="C2528" s="838" t="s">
        <v>3510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1644</v>
      </c>
      <c r="I2528" s="1240" t="s">
        <v>1540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2936</v>
      </c>
      <c r="C2529" s="838" t="s">
        <v>3510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1644</v>
      </c>
      <c r="I2529" s="1240" t="s">
        <v>2915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2935</v>
      </c>
      <c r="C2530" s="838" t="s">
        <v>3510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3365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1358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2934</v>
      </c>
      <c r="C2531" s="838" t="s">
        <v>3510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1644</v>
      </c>
      <c r="I2531" s="1240" t="s">
        <v>1540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2933</v>
      </c>
      <c r="C2532" s="838" t="s">
        <v>3510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1644</v>
      </c>
      <c r="I2532" s="1240" t="s">
        <v>1695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2932</v>
      </c>
      <c r="C2533" s="838" t="s">
        <v>3510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1644</v>
      </c>
      <c r="I2533" s="1240" t="s">
        <v>2302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2931</v>
      </c>
      <c r="C2534" s="838" t="s">
        <v>3510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1644</v>
      </c>
      <c r="I2534" s="1240" t="s">
        <v>2849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2930</v>
      </c>
      <c r="C2535" s="838" t="s">
        <v>3510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1644</v>
      </c>
      <c r="I2535" s="1240" t="s">
        <v>2332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2929</v>
      </c>
      <c r="C2536" s="838" t="s">
        <v>3510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1644</v>
      </c>
      <c r="I2536" s="1240" t="s">
        <v>2849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2928</v>
      </c>
      <c r="C2537" s="838" t="s">
        <v>3510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3020</v>
      </c>
      <c r="C2538" s="838" t="s">
        <v>3510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1644</v>
      </c>
      <c r="I2538" s="1240" t="s">
        <v>1540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3019</v>
      </c>
      <c r="C2539" s="838" t="s">
        <v>3510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1644</v>
      </c>
      <c r="I2539" s="1240" t="s">
        <v>2302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3018</v>
      </c>
      <c r="C2540" s="838" t="s">
        <v>3510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1644</v>
      </c>
      <c r="I2540" s="1240" t="s">
        <v>1540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3017</v>
      </c>
      <c r="C2541" s="838" t="s">
        <v>3510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1644</v>
      </c>
      <c r="I2541" s="1240" t="s">
        <v>1540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3016</v>
      </c>
      <c r="C2542" s="838" t="s">
        <v>3510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1644</v>
      </c>
      <c r="I2542" s="1240" t="s">
        <v>1540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3015</v>
      </c>
      <c r="C2543" s="838" t="s">
        <v>3510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2006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3014</v>
      </c>
      <c r="C2544" s="838" t="s">
        <v>3510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1644</v>
      </c>
      <c r="I2544" s="1240" t="s">
        <v>2302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3013</v>
      </c>
      <c r="C2545" s="838" t="s">
        <v>3510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3021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3012</v>
      </c>
      <c r="C2546" s="838" t="s">
        <v>3510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1644</v>
      </c>
      <c r="I2546" s="1240" t="s">
        <v>1540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3011</v>
      </c>
      <c r="C2547" s="838" t="s">
        <v>3510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1644</v>
      </c>
      <c r="I2547" s="1241" t="s">
        <v>2849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3010</v>
      </c>
      <c r="C2548" s="838" t="s">
        <v>3510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1644</v>
      </c>
      <c r="I2548" s="1241" t="s">
        <v>1693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3009</v>
      </c>
      <c r="C2549" s="838" t="s">
        <v>3510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1644</v>
      </c>
      <c r="I2549" s="1241" t="s">
        <v>1735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3008</v>
      </c>
      <c r="C2550" s="838" t="s">
        <v>3510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1818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3007</v>
      </c>
      <c r="C2551" s="838" t="s">
        <v>3510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1818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3006</v>
      </c>
      <c r="C2552" s="838" t="s">
        <v>3510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1644</v>
      </c>
      <c r="I2552" s="1241" t="s">
        <v>1734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3005</v>
      </c>
      <c r="C2553" s="838" t="s">
        <v>3510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1644</v>
      </c>
      <c r="I2553" s="1241" t="s">
        <v>2915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3004</v>
      </c>
      <c r="C2554" s="838" t="s">
        <v>3510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1644</v>
      </c>
      <c r="I2554" s="1241" t="s">
        <v>2915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3029</v>
      </c>
      <c r="C2555" s="838" t="s">
        <v>3510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1818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3028</v>
      </c>
      <c r="C2556" s="838" t="s">
        <v>3510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1818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3027</v>
      </c>
      <c r="C2557" s="838" t="s">
        <v>3510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1818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3026</v>
      </c>
      <c r="C2558" s="838" t="s">
        <v>3510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2785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3025</v>
      </c>
      <c r="C2559" s="838" t="s">
        <v>3510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3365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2785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3033</v>
      </c>
      <c r="C2560" s="838" t="s">
        <v>3510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3365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2785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3032</v>
      </c>
      <c r="C2561" s="838" t="s">
        <v>3510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3365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2785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3047</v>
      </c>
      <c r="C2562" s="838" t="s">
        <v>3510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1644</v>
      </c>
      <c r="I2562" s="1243" t="s">
        <v>2916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3046</v>
      </c>
      <c r="C2563" s="838" t="s">
        <v>3510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1644</v>
      </c>
      <c r="I2563" s="1240" t="s">
        <v>1540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3045</v>
      </c>
      <c r="C2564" s="838" t="s">
        <v>3510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1644</v>
      </c>
      <c r="I2564" s="1243" t="s">
        <v>1641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3044</v>
      </c>
      <c r="C2565" s="838" t="s">
        <v>3510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1644</v>
      </c>
      <c r="I2565" s="1240" t="s">
        <v>1540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3043</v>
      </c>
      <c r="C2566" s="838" t="s">
        <v>3510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1644</v>
      </c>
      <c r="I2566" s="1243" t="s">
        <v>2849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3042</v>
      </c>
      <c r="C2567" s="838" t="s">
        <v>3510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1644</v>
      </c>
      <c r="I2567" s="1243" t="s">
        <v>1693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3041</v>
      </c>
      <c r="C2568" s="838" t="s">
        <v>3510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1644</v>
      </c>
      <c r="I2568" s="1243" t="s">
        <v>1693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3040</v>
      </c>
      <c r="C2569" s="838" t="s">
        <v>3510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1644</v>
      </c>
      <c r="I2569" s="1243" t="s">
        <v>1733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3085</v>
      </c>
      <c r="C2570" s="838" t="s">
        <v>3510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1644</v>
      </c>
      <c r="I2570" s="1243" t="s">
        <v>2849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3084</v>
      </c>
      <c r="C2571" s="838" t="s">
        <v>3510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1644</v>
      </c>
      <c r="I2571" s="1243" t="s">
        <v>1693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3083</v>
      </c>
      <c r="C2572" s="838" t="s">
        <v>3510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1644</v>
      </c>
      <c r="I2572" s="1240" t="s">
        <v>1540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3082</v>
      </c>
      <c r="C2573" s="838" t="s">
        <v>3510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1644</v>
      </c>
      <c r="I2573" s="1243" t="s">
        <v>2916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3081</v>
      </c>
      <c r="C2574" s="838" t="s">
        <v>3510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1644</v>
      </c>
      <c r="I2574" s="1240" t="s">
        <v>1540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3080</v>
      </c>
      <c r="C2575" s="838" t="s">
        <v>3510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1644</v>
      </c>
      <c r="I2575" s="1243" t="s">
        <v>2916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3079</v>
      </c>
      <c r="C2576" s="838" t="s">
        <v>3510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1644</v>
      </c>
      <c r="I2576" s="1240" t="s">
        <v>1540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3078</v>
      </c>
      <c r="C2577" s="838" t="s">
        <v>3510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1644</v>
      </c>
      <c r="I2577" s="1243" t="s">
        <v>2849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3077</v>
      </c>
      <c r="C2578" s="838" t="s">
        <v>3510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1644</v>
      </c>
      <c r="I2578" s="1243" t="s">
        <v>1734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3076</v>
      </c>
      <c r="C2579" s="838" t="s">
        <v>3510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1644</v>
      </c>
      <c r="I2579" s="1243" t="s">
        <v>2916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3075</v>
      </c>
      <c r="C2580" s="838" t="s">
        <v>3510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1644</v>
      </c>
      <c r="I2580" s="1243" t="s">
        <v>2916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3074</v>
      </c>
      <c r="C2581" s="838" t="s">
        <v>3510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1644</v>
      </c>
      <c r="I2581" s="1243" t="s">
        <v>2302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3073</v>
      </c>
      <c r="C2582" s="838" t="s">
        <v>3510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3365</v>
      </c>
      <c r="I2582" s="1243" t="s">
        <v>1574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2006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3072</v>
      </c>
      <c r="C2583" s="838" t="s">
        <v>3510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1644</v>
      </c>
      <c r="I2583" s="1243" t="s">
        <v>1734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3071</v>
      </c>
      <c r="C2584" s="838" t="s">
        <v>3510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1644</v>
      </c>
      <c r="I2584" s="1240" t="s">
        <v>1540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3070</v>
      </c>
      <c r="C2585" s="838" t="s">
        <v>3510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1644</v>
      </c>
      <c r="I2585" s="1243" t="s">
        <v>2272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3069</v>
      </c>
      <c r="C2586" s="838" t="s">
        <v>3510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1644</v>
      </c>
      <c r="I2586" s="1243" t="s">
        <v>2849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3068</v>
      </c>
      <c r="C2587" s="838" t="s">
        <v>3510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1644</v>
      </c>
      <c r="I2587" s="1240" t="s">
        <v>1540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3067</v>
      </c>
      <c r="C2588" s="838" t="s">
        <v>3510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1644</v>
      </c>
      <c r="I2588" s="1243" t="s">
        <v>2849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3066</v>
      </c>
      <c r="C2589" s="838" t="s">
        <v>3510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3365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1358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3066</v>
      </c>
      <c r="C2590" s="838" t="s">
        <v>3510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1644</v>
      </c>
      <c r="I2590" s="1243" t="s">
        <v>1695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3065</v>
      </c>
      <c r="C2591" s="838" t="s">
        <v>3510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3365</v>
      </c>
      <c r="I2591" s="1243" t="s">
        <v>1574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1358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3064</v>
      </c>
      <c r="C2592" s="838" t="s">
        <v>3510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1644</v>
      </c>
      <c r="I2592" s="1243" t="s">
        <v>1733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3063</v>
      </c>
      <c r="C2593" s="838" t="s">
        <v>3510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1644</v>
      </c>
      <c r="I2593" s="1433" t="s">
        <v>4682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3062</v>
      </c>
      <c r="C2594" s="838" t="s">
        <v>3510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1644</v>
      </c>
      <c r="I2594" s="1243" t="s">
        <v>2849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3060</v>
      </c>
      <c r="C2595" s="838" t="s">
        <v>3510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1644</v>
      </c>
      <c r="I2595" s="1240" t="s">
        <v>1540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3060</v>
      </c>
      <c r="C2596" s="838" t="s">
        <v>3510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1644</v>
      </c>
      <c r="I2596" s="1243" t="s">
        <v>2333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3061</v>
      </c>
      <c r="C2597" s="838" t="s">
        <v>3510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1644</v>
      </c>
      <c r="I2597" s="1243" t="s">
        <v>2849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3059</v>
      </c>
      <c r="C2598" s="838" t="s">
        <v>3510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1644</v>
      </c>
      <c r="I2598" s="1243" t="s">
        <v>1695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3058</v>
      </c>
      <c r="C2599" s="838" t="s">
        <v>3510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1644</v>
      </c>
      <c r="I2599" s="1240" t="s">
        <v>1540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3057</v>
      </c>
      <c r="C2600" s="838" t="s">
        <v>3510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1644</v>
      </c>
      <c r="I2600" s="1240" t="s">
        <v>1540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3056</v>
      </c>
      <c r="C2601" s="838" t="s">
        <v>3510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1644</v>
      </c>
      <c r="I2601" s="1240" t="s">
        <v>1540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3055</v>
      </c>
      <c r="C2602" s="838" t="s">
        <v>3510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1644</v>
      </c>
      <c r="I2602" s="1243" t="s">
        <v>2272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3054</v>
      </c>
      <c r="C2603" s="838" t="s">
        <v>3510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1644</v>
      </c>
      <c r="I2603" s="1243" t="s">
        <v>1734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3053</v>
      </c>
      <c r="C2604" s="838" t="s">
        <v>3510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1644</v>
      </c>
      <c r="I2604" s="1243" t="s">
        <v>2272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3052</v>
      </c>
      <c r="C2605" s="838" t="s">
        <v>3510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1644</v>
      </c>
      <c r="I2605" s="1243" t="s">
        <v>2333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3051</v>
      </c>
      <c r="C2606" s="838" t="s">
        <v>3510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1644</v>
      </c>
      <c r="I2606" s="1243" t="s">
        <v>1693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3050</v>
      </c>
      <c r="C2607" s="838" t="s">
        <v>3510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1644</v>
      </c>
      <c r="I2607" s="1243" t="s">
        <v>1695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3127</v>
      </c>
      <c r="C2608" s="838" t="s">
        <v>3510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1644</v>
      </c>
      <c r="I2608" s="1240" t="s">
        <v>1540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3126</v>
      </c>
      <c r="C2609" s="838" t="s">
        <v>3510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1644</v>
      </c>
      <c r="I2609" s="1240" t="s">
        <v>1540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3125</v>
      </c>
      <c r="C2610" s="838" t="s">
        <v>3510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1644</v>
      </c>
      <c r="I2610" s="1243" t="s">
        <v>1734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3124</v>
      </c>
      <c r="C2611" s="838" t="s">
        <v>3510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1644</v>
      </c>
      <c r="I2611" s="1243" t="s">
        <v>2849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3123</v>
      </c>
      <c r="C2612" s="838" t="s">
        <v>3510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1644</v>
      </c>
      <c r="I2612" s="1243" t="s">
        <v>2915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3122</v>
      </c>
      <c r="C2613" s="838" t="s">
        <v>3510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1644</v>
      </c>
      <c r="I2613" s="1243" t="s">
        <v>1734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3121</v>
      </c>
      <c r="C2614" s="838" t="s">
        <v>3510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1644</v>
      </c>
      <c r="I2614" s="1243" t="s">
        <v>2916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3120</v>
      </c>
      <c r="C2615" s="838" t="s">
        <v>3510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1644</v>
      </c>
      <c r="I2615" s="1240" t="s">
        <v>1540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3119</v>
      </c>
      <c r="C2616" s="838" t="s">
        <v>3510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3295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3118</v>
      </c>
      <c r="C2617" s="838" t="s">
        <v>3510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3365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3021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3117</v>
      </c>
      <c r="C2618" s="838" t="s">
        <v>3510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1644</v>
      </c>
      <c r="I2618" s="1243" t="s">
        <v>2332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3116</v>
      </c>
      <c r="C2619" s="838" t="s">
        <v>3510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1644</v>
      </c>
      <c r="I2619" s="1243" t="s">
        <v>1769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3115</v>
      </c>
      <c r="C2620" s="838" t="s">
        <v>3510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1644</v>
      </c>
      <c r="I2620" s="1243" t="s">
        <v>2333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3114</v>
      </c>
      <c r="C2621" s="838" t="s">
        <v>3510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1644</v>
      </c>
      <c r="I2621" s="1243" t="s">
        <v>2332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3113</v>
      </c>
      <c r="C2622" s="838" t="s">
        <v>3510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1644</v>
      </c>
      <c r="I2622" s="1243" t="s">
        <v>1751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3112</v>
      </c>
      <c r="C2623" s="838" t="s">
        <v>3510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1644</v>
      </c>
      <c r="I2623" s="1240" t="s">
        <v>1540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3111</v>
      </c>
      <c r="C2624" s="838" t="s">
        <v>3510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3365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1212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3110</v>
      </c>
      <c r="C2625" s="838" t="s">
        <v>3510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1644</v>
      </c>
      <c r="I2625" s="1243" t="s">
        <v>1734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3109</v>
      </c>
      <c r="C2626" s="838" t="s">
        <v>3510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1644</v>
      </c>
      <c r="I2626" s="1243" t="s">
        <v>2849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3108</v>
      </c>
      <c r="C2627" s="838" t="s">
        <v>3510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3365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1212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3107</v>
      </c>
      <c r="C2628" s="838" t="s">
        <v>3510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1644</v>
      </c>
      <c r="I2628" s="1240" t="s">
        <v>1540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3106</v>
      </c>
      <c r="C2629" s="838" t="s">
        <v>3510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1644</v>
      </c>
      <c r="I2629" s="1243" t="s">
        <v>1694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3105</v>
      </c>
      <c r="C2630" s="838" t="s">
        <v>3510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1644</v>
      </c>
      <c r="I2630" s="1433" t="s">
        <v>4682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3104</v>
      </c>
      <c r="C2631" s="838" t="s">
        <v>3510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1644</v>
      </c>
      <c r="I2631" s="1243" t="s">
        <v>1694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3103</v>
      </c>
      <c r="C2632" s="838" t="s">
        <v>3510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1358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3102</v>
      </c>
      <c r="C2633" s="838" t="s">
        <v>3510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3365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1358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3101</v>
      </c>
      <c r="C2634" s="838" t="s">
        <v>3510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1644</v>
      </c>
      <c r="I2634" s="1243" t="s">
        <v>2849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3100</v>
      </c>
      <c r="C2635" s="838" t="s">
        <v>3510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1644</v>
      </c>
      <c r="I2635" s="1240" t="s">
        <v>1540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3099</v>
      </c>
      <c r="C2636" s="838" t="s">
        <v>3510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1644</v>
      </c>
      <c r="I2636" s="1243" t="s">
        <v>2849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3098</v>
      </c>
      <c r="C2637" s="838" t="s">
        <v>3510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1644</v>
      </c>
      <c r="I2637" s="1243" t="s">
        <v>1733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3097</v>
      </c>
      <c r="C2638" s="838" t="s">
        <v>3510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1644</v>
      </c>
      <c r="I2638" s="1243" t="s">
        <v>1693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3096</v>
      </c>
      <c r="C2639" s="838" t="s">
        <v>3510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1644</v>
      </c>
      <c r="I2639" s="1243" t="s">
        <v>2332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3095</v>
      </c>
      <c r="C2640" s="838" t="s">
        <v>3510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1644</v>
      </c>
      <c r="I2640" s="1243" t="s">
        <v>2272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3094</v>
      </c>
      <c r="C2641" s="838" t="s">
        <v>3510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1644</v>
      </c>
      <c r="I2641" s="1243" t="s">
        <v>2332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3093</v>
      </c>
      <c r="C2642" s="838" t="s">
        <v>3510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1644</v>
      </c>
      <c r="I2642" s="1243" t="s">
        <v>2849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3092</v>
      </c>
      <c r="C2643" s="838" t="s">
        <v>3510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1644</v>
      </c>
      <c r="I2643" s="1243" t="s">
        <v>1733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3091</v>
      </c>
      <c r="C2644" s="838" t="s">
        <v>3510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1644</v>
      </c>
      <c r="I2644" s="1243" t="s">
        <v>1735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3139</v>
      </c>
      <c r="C2645" s="838" t="s">
        <v>3510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1644</v>
      </c>
      <c r="I2645" s="1243" t="s">
        <v>1735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3138</v>
      </c>
      <c r="C2646" s="838" t="s">
        <v>3510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1644</v>
      </c>
      <c r="I2646" s="1244" t="s">
        <v>2849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3137</v>
      </c>
      <c r="C2647" s="838" t="s">
        <v>3510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1644</v>
      </c>
      <c r="I2647" s="1244" t="s">
        <v>2916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3145</v>
      </c>
      <c r="C2648" s="838" t="s">
        <v>3510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3146</v>
      </c>
      <c r="I2648" s="1245" t="s">
        <v>1553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3144</v>
      </c>
      <c r="C2649" s="838" t="s">
        <v>3510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1644</v>
      </c>
      <c r="I2649" s="1244" t="s">
        <v>2849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3143</v>
      </c>
      <c r="C2650" s="838" t="s">
        <v>3510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1644</v>
      </c>
      <c r="I2650" s="1244" t="s">
        <v>2849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3166</v>
      </c>
      <c r="C2651" s="838" t="s">
        <v>3510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1644</v>
      </c>
      <c r="I2651" s="1246" t="s">
        <v>1751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3165</v>
      </c>
      <c r="C2652" s="838" t="s">
        <v>3510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1644</v>
      </c>
      <c r="I2652" s="1240" t="s">
        <v>1540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3164</v>
      </c>
      <c r="C2653" s="838" t="s">
        <v>3510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3146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3163</v>
      </c>
      <c r="C2654" s="838" t="s">
        <v>3510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1644</v>
      </c>
      <c r="I2654" s="1246" t="s">
        <v>1695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3162</v>
      </c>
      <c r="C2655" s="838" t="s">
        <v>3510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3292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3161</v>
      </c>
      <c r="C2656" s="838" t="s">
        <v>3510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1644</v>
      </c>
      <c r="I2656" s="1240" t="s">
        <v>1540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3160</v>
      </c>
      <c r="C2657" s="838" t="s">
        <v>3510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1644</v>
      </c>
      <c r="I2657" s="1246" t="s">
        <v>2272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3159</v>
      </c>
      <c r="C2658" s="838" t="s">
        <v>3510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1644</v>
      </c>
      <c r="I2658" s="1246" t="s">
        <v>1734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3158</v>
      </c>
      <c r="C2659" s="838" t="s">
        <v>3510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1644</v>
      </c>
      <c r="I2659" s="1240" t="s">
        <v>1540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3157</v>
      </c>
      <c r="C2660" s="838" t="s">
        <v>3510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3167</v>
      </c>
      <c r="I2660" s="1246" t="s">
        <v>3168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3156</v>
      </c>
      <c r="C2661" s="838" t="s">
        <v>3510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1644</v>
      </c>
      <c r="I2661" s="1246" t="s">
        <v>2272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3155</v>
      </c>
      <c r="C2662" s="838" t="s">
        <v>3510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1644</v>
      </c>
      <c r="I2662" s="1246" t="s">
        <v>2849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3154</v>
      </c>
      <c r="C2663" s="838" t="s">
        <v>3510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1644</v>
      </c>
      <c r="I2663" s="1240" t="s">
        <v>1540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3153</v>
      </c>
      <c r="C2664" s="838" t="s">
        <v>3510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1644</v>
      </c>
      <c r="I2664" s="1240" t="s">
        <v>1540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3152</v>
      </c>
      <c r="C2665" s="838" t="s">
        <v>3510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3021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3151</v>
      </c>
      <c r="C2666" s="838" t="s">
        <v>3510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1644</v>
      </c>
      <c r="I2666" s="1246" t="s">
        <v>1734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3150</v>
      </c>
      <c r="C2667" s="838" t="s">
        <v>3510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3167</v>
      </c>
      <c r="I2667" s="1246" t="s">
        <v>3169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3150</v>
      </c>
      <c r="C2668" s="838" t="s">
        <v>3510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1644</v>
      </c>
      <c r="I2668" s="1246" t="s">
        <v>1693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3149</v>
      </c>
      <c r="C2669" s="838" t="s">
        <v>3510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1644</v>
      </c>
      <c r="I2669" s="1246" t="s">
        <v>2849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3148</v>
      </c>
      <c r="C2670" s="838" t="s">
        <v>3510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1644</v>
      </c>
      <c r="I2670" s="1240" t="s">
        <v>1540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3147</v>
      </c>
      <c r="C2671" s="838" t="s">
        <v>3510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1644</v>
      </c>
      <c r="I2671" s="1240" t="s">
        <v>1540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3184</v>
      </c>
      <c r="C2672" s="838" t="s">
        <v>3510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1644</v>
      </c>
      <c r="I2672" s="1240" t="s">
        <v>1540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3183</v>
      </c>
      <c r="C2673" s="838" t="s">
        <v>3510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3185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3182</v>
      </c>
      <c r="C2674" s="838" t="s">
        <v>3510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3292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3181</v>
      </c>
      <c r="C2675" s="838" t="s">
        <v>3510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3167</v>
      </c>
      <c r="I2675" s="1247" t="s">
        <v>3169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3210</v>
      </c>
      <c r="C2676" s="838" t="s">
        <v>3510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1644</v>
      </c>
      <c r="I2676" s="1246" t="s">
        <v>2849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3209</v>
      </c>
      <c r="C2677" s="838" t="s">
        <v>3510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1644</v>
      </c>
      <c r="I2677" s="1246" t="s">
        <v>1693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3208</v>
      </c>
      <c r="C2678" s="838" t="s">
        <v>3510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1644</v>
      </c>
      <c r="I2678" s="1240" t="s">
        <v>1540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3207</v>
      </c>
      <c r="C2679" s="838" t="s">
        <v>3510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3211</v>
      </c>
      <c r="I2679" s="1248" t="s">
        <v>3212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3206</v>
      </c>
      <c r="C2680" s="838" t="s">
        <v>3510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3211</v>
      </c>
      <c r="I2680" s="1248" t="s">
        <v>1537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3205</v>
      </c>
      <c r="C2681" s="838" t="s">
        <v>3510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1644</v>
      </c>
      <c r="I2681" s="1248" t="s">
        <v>2302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3204</v>
      </c>
      <c r="C2682" s="838" t="s">
        <v>3510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1644</v>
      </c>
      <c r="I2682" s="1248" t="s">
        <v>1751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3203</v>
      </c>
      <c r="C2683" s="838" t="s">
        <v>3510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3167</v>
      </c>
      <c r="I2683" s="1248" t="s">
        <v>3169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3202</v>
      </c>
      <c r="C2684" s="838" t="s">
        <v>3510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3167</v>
      </c>
      <c r="I2684" s="1248" t="s">
        <v>3168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3201</v>
      </c>
      <c r="C2685" s="838" t="s">
        <v>3510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1644</v>
      </c>
      <c r="I2685" s="1246" t="s">
        <v>1693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3225</v>
      </c>
      <c r="C2686" s="838" t="s">
        <v>3510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3146</v>
      </c>
      <c r="I2686" s="1249" t="s">
        <v>1553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3224</v>
      </c>
      <c r="C2687" s="838" t="s">
        <v>3510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2404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3223</v>
      </c>
      <c r="C2688" s="838" t="s">
        <v>3510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1644</v>
      </c>
      <c r="I2688" s="1249" t="s">
        <v>2849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3222</v>
      </c>
      <c r="C2689" s="838" t="s">
        <v>3510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1644</v>
      </c>
      <c r="I2689" s="1240" t="s">
        <v>1540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3221</v>
      </c>
      <c r="C2690" s="838" t="s">
        <v>3510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3146</v>
      </c>
      <c r="I2690" s="1249" t="s">
        <v>1553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3220</v>
      </c>
      <c r="C2691" s="838" t="s">
        <v>3510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1644</v>
      </c>
      <c r="I2691" s="1249" t="s">
        <v>1695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3219</v>
      </c>
      <c r="C2692" s="838" t="s">
        <v>3510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1644</v>
      </c>
      <c r="I2692" s="1240" t="s">
        <v>1540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3218</v>
      </c>
      <c r="C2693" s="838" t="s">
        <v>3510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3226</v>
      </c>
      <c r="I2693" s="1249" t="s">
        <v>1755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3217</v>
      </c>
      <c r="C2694" s="838" t="s">
        <v>3510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3146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3216</v>
      </c>
      <c r="C2695" s="838" t="s">
        <v>3510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1434" t="s">
        <v>4683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3216</v>
      </c>
      <c r="C2696" s="838" t="s">
        <v>3510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1644</v>
      </c>
      <c r="I2696" s="1249" t="s">
        <v>2915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3215</v>
      </c>
      <c r="C2697" s="838" t="s">
        <v>3510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1644</v>
      </c>
      <c r="I2697" s="1249" t="s">
        <v>1734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3214</v>
      </c>
      <c r="C2698" s="838" t="s">
        <v>3510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1644</v>
      </c>
      <c r="I2698" s="1433" t="s">
        <v>4682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3235</v>
      </c>
      <c r="C2699" s="838" t="s">
        <v>3510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3146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3234</v>
      </c>
      <c r="C2700" s="838" t="s">
        <v>3510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3146</v>
      </c>
      <c r="I2700" s="1250" t="s">
        <v>1553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3233</v>
      </c>
      <c r="C2701" s="838" t="s">
        <v>3510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3236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3232</v>
      </c>
      <c r="C2702" s="838" t="s">
        <v>3510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3365</v>
      </c>
      <c r="I2702" s="1251" t="s">
        <v>3348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3289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3231</v>
      </c>
      <c r="C2703" s="838" t="s">
        <v>3510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3226</v>
      </c>
      <c r="I2703" s="1249" t="s">
        <v>1755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3230</v>
      </c>
      <c r="C2704" s="838" t="s">
        <v>3510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3167</v>
      </c>
      <c r="I2704" s="1248" t="s">
        <v>3169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3284</v>
      </c>
      <c r="C2705" s="838" t="s">
        <v>3510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3146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3284</v>
      </c>
      <c r="C2706" s="838" t="s">
        <v>3510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3226</v>
      </c>
      <c r="I2706" s="1249" t="s">
        <v>1755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3283</v>
      </c>
      <c r="C2707" s="838" t="s">
        <v>3510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3146</v>
      </c>
      <c r="I2707" s="1252" t="s">
        <v>1553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3282</v>
      </c>
      <c r="C2708" s="838" t="s">
        <v>3510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3226</v>
      </c>
      <c r="I2708" s="1249" t="s">
        <v>1755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3282</v>
      </c>
      <c r="C2709" s="838" t="s">
        <v>3510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1644</v>
      </c>
      <c r="I2709" s="1252" t="s">
        <v>2332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3282</v>
      </c>
      <c r="C2710" s="838" t="s">
        <v>3510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3146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3281</v>
      </c>
      <c r="C2711" s="838" t="s">
        <v>3510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2126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3280</v>
      </c>
      <c r="C2712" s="838" t="s">
        <v>3510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1644</v>
      </c>
      <c r="I2712" s="1252" t="s">
        <v>2849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3279</v>
      </c>
      <c r="C2713" s="838" t="s">
        <v>3510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3146</v>
      </c>
      <c r="I2713" s="1252" t="s">
        <v>1553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3278</v>
      </c>
      <c r="C2714" s="838" t="s">
        <v>3510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3167</v>
      </c>
      <c r="I2714" s="1252" t="s">
        <v>3169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3277</v>
      </c>
      <c r="C2715" s="838" t="s">
        <v>3510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3365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2126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3276</v>
      </c>
      <c r="C2716" s="838" t="s">
        <v>3510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1644</v>
      </c>
      <c r="I2716" s="1252" t="s">
        <v>2849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3275</v>
      </c>
      <c r="C2717" s="838" t="s">
        <v>3510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3226</v>
      </c>
      <c r="I2717" s="1249" t="s">
        <v>1755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3274</v>
      </c>
      <c r="C2718" s="838" t="s">
        <v>3510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3292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3273</v>
      </c>
      <c r="C2719" s="838" t="s">
        <v>3510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1644</v>
      </c>
      <c r="I2719" s="1252" t="s">
        <v>2915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3272</v>
      </c>
      <c r="C2720" s="838" t="s">
        <v>3510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1434" t="s">
        <v>4683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3271</v>
      </c>
      <c r="C2721" s="838" t="s">
        <v>3510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3146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3270</v>
      </c>
      <c r="C2722" s="838" t="s">
        <v>3510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1434" t="s">
        <v>4683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3269</v>
      </c>
      <c r="C2723" s="838" t="s">
        <v>3510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3167</v>
      </c>
      <c r="I2723" s="1252" t="s">
        <v>3169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3268</v>
      </c>
      <c r="C2724" s="838" t="s">
        <v>3510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3288</v>
      </c>
      <c r="I2724" s="1253" t="s">
        <v>3522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3267</v>
      </c>
      <c r="C2725" s="838" t="s">
        <v>3510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3226</v>
      </c>
      <c r="I2725" s="1249" t="s">
        <v>1755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3267</v>
      </c>
      <c r="C2726" s="838" t="s">
        <v>3510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1644</v>
      </c>
      <c r="I2726" s="1252" t="s">
        <v>1735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3266</v>
      </c>
      <c r="C2727" s="838" t="s">
        <v>3510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3146</v>
      </c>
      <c r="I2727" s="1252" t="s">
        <v>1553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3265</v>
      </c>
      <c r="C2728" s="838" t="s">
        <v>3510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3365</v>
      </c>
      <c r="I2728" s="1251" t="s">
        <v>3348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3289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3264</v>
      </c>
      <c r="C2729" s="838" t="s">
        <v>3510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3365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3290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3263</v>
      </c>
      <c r="C2730" s="838" t="s">
        <v>3510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1644</v>
      </c>
      <c r="I2730" s="1252" t="s">
        <v>2333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3261</v>
      </c>
      <c r="C2731" s="838" t="s">
        <v>3510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1644</v>
      </c>
      <c r="I2731" s="1252" t="s">
        <v>1540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3261</v>
      </c>
      <c r="C2732" s="838" t="s">
        <v>3510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1644</v>
      </c>
      <c r="I2732" s="1252" t="s">
        <v>2333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3262</v>
      </c>
      <c r="C2733" s="838" t="s">
        <v>3510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1644</v>
      </c>
      <c r="I2733" s="1252" t="s">
        <v>3291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3260</v>
      </c>
      <c r="C2734" s="838" t="s">
        <v>3510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1644</v>
      </c>
      <c r="I2734" s="1252" t="s">
        <v>2915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3259</v>
      </c>
      <c r="C2735" s="838" t="s">
        <v>3510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3292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3258</v>
      </c>
      <c r="C2736" s="838" t="s">
        <v>3510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3348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3289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3257</v>
      </c>
      <c r="C2737" s="838" t="s">
        <v>3510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3292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3256</v>
      </c>
      <c r="C2738" s="838" t="s">
        <v>3510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1644</v>
      </c>
      <c r="I2738" s="1252" t="s">
        <v>2849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3255</v>
      </c>
      <c r="C2739" s="838" t="s">
        <v>3510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1644</v>
      </c>
      <c r="I2739" s="1252" t="s">
        <v>1769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3254</v>
      </c>
      <c r="C2740" s="838" t="s">
        <v>3510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1434" t="s">
        <v>4683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3253</v>
      </c>
      <c r="C2741" s="838" t="s">
        <v>3510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3288</v>
      </c>
      <c r="I2741" s="1254" t="s">
        <v>4302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3252</v>
      </c>
      <c r="C2742" s="838" t="s">
        <v>3510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3365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3021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3251</v>
      </c>
      <c r="C2743" s="838" t="s">
        <v>3510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3211</v>
      </c>
      <c r="I2743" s="1252" t="s">
        <v>3212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3250</v>
      </c>
      <c r="C2744" s="838" t="s">
        <v>3510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3211</v>
      </c>
      <c r="I2744" s="1252" t="s">
        <v>1537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3249</v>
      </c>
      <c r="C2745" s="838" t="s">
        <v>3510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3021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3248</v>
      </c>
      <c r="C2746" s="838" t="s">
        <v>3510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3021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3247</v>
      </c>
      <c r="C2747" s="838" t="s">
        <v>3510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1644</v>
      </c>
      <c r="I2747" s="1252" t="s">
        <v>2915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3246</v>
      </c>
      <c r="C2748" s="838" t="s">
        <v>3510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3146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3245</v>
      </c>
      <c r="C2749" s="838" t="s">
        <v>3510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1537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3289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3245</v>
      </c>
      <c r="C2750" s="838" t="s">
        <v>3510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3365</v>
      </c>
      <c r="I2750" s="1251" t="s">
        <v>3348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3289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3244</v>
      </c>
      <c r="C2751" s="838" t="s">
        <v>3510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1644</v>
      </c>
      <c r="I2751" s="1252" t="s">
        <v>1769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3243</v>
      </c>
      <c r="C2752" s="838" t="s">
        <v>3510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1644</v>
      </c>
      <c r="I2752" s="1252" t="s">
        <v>1540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3242</v>
      </c>
      <c r="C2753" s="838" t="s">
        <v>3510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3226</v>
      </c>
      <c r="I2753" s="1249" t="s">
        <v>1755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3241</v>
      </c>
      <c r="C2754" s="838" t="s">
        <v>3510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3365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3290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3241</v>
      </c>
      <c r="C2755" s="838" t="s">
        <v>3510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1644</v>
      </c>
      <c r="I2755" s="1252" t="s">
        <v>1695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3240</v>
      </c>
      <c r="C2756" s="838" t="s">
        <v>3510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3288</v>
      </c>
      <c r="I2756" s="1254" t="s">
        <v>4302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3239</v>
      </c>
      <c r="C2757" s="838" t="s">
        <v>3510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3146</v>
      </c>
      <c r="I2757" s="1252" t="s">
        <v>1553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3238</v>
      </c>
      <c r="C2758" s="838" t="s">
        <v>3510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3146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3237</v>
      </c>
      <c r="C2759" s="838" t="s">
        <v>3510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3292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3309</v>
      </c>
      <c r="C2760" s="838" t="s">
        <v>3510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3289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3308</v>
      </c>
      <c r="C2761" s="838" t="s">
        <v>3510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3146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3307</v>
      </c>
      <c r="C2762" s="838" t="s">
        <v>3510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3365</v>
      </c>
      <c r="I2762" s="1251" t="s">
        <v>3348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3289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3307</v>
      </c>
      <c r="C2763" s="838" t="s">
        <v>3510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1537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3289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3306</v>
      </c>
      <c r="C2764" s="838" t="s">
        <v>3510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3146</v>
      </c>
      <c r="I2764" s="1252" t="s">
        <v>1553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3305</v>
      </c>
      <c r="C2765" s="838" t="s">
        <v>3510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2404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3304</v>
      </c>
      <c r="C2766" s="838" t="s">
        <v>3510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1644</v>
      </c>
      <c r="I2766" s="1252" t="s">
        <v>2849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3303</v>
      </c>
      <c r="C2767" s="838" t="s">
        <v>3510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3146</v>
      </c>
      <c r="I2767" s="1252" t="s">
        <v>1553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3302</v>
      </c>
      <c r="C2768" s="838" t="s">
        <v>3510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3167</v>
      </c>
      <c r="I2768" s="1255" t="s">
        <v>3168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3302</v>
      </c>
      <c r="C2769" s="838" t="s">
        <v>3510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3292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3301</v>
      </c>
      <c r="C2770" s="838" t="s">
        <v>3510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3291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3300</v>
      </c>
      <c r="C2771" s="838" t="s">
        <v>3510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3348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3289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3299</v>
      </c>
      <c r="C2772" s="838" t="s">
        <v>3510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3146</v>
      </c>
      <c r="I2772" s="1252" t="s">
        <v>1553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3298</v>
      </c>
      <c r="C2773" s="838" t="s">
        <v>3510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3288</v>
      </c>
      <c r="I2773" s="1254" t="s">
        <v>4303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3297</v>
      </c>
      <c r="C2774" s="838" t="s">
        <v>3510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3146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3296</v>
      </c>
      <c r="C2775" s="838" t="s">
        <v>3510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3292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3341</v>
      </c>
      <c r="C2776" s="838" t="s">
        <v>3510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3146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3340</v>
      </c>
      <c r="C2777" s="838" t="s">
        <v>3510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3146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3339</v>
      </c>
      <c r="C2778" s="838" t="s">
        <v>3510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3226</v>
      </c>
      <c r="I2778" s="1249" t="s">
        <v>1755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3339</v>
      </c>
      <c r="C2779" s="838" t="s">
        <v>3510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3146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3338</v>
      </c>
      <c r="C2780" s="838" t="s">
        <v>3510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3146</v>
      </c>
      <c r="I2780" s="1257" t="s">
        <v>1553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3337</v>
      </c>
      <c r="C2781" s="838" t="s">
        <v>3510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3146</v>
      </c>
      <c r="I2781" s="1257" t="s">
        <v>1553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3336</v>
      </c>
      <c r="C2782" s="838" t="s">
        <v>3510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3146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3347</v>
      </c>
      <c r="C2783" s="838" t="s">
        <v>3509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3342</v>
      </c>
      <c r="I2783" s="1257" t="s">
        <v>3344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3335</v>
      </c>
      <c r="C2784" s="838" t="s">
        <v>3510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3342</v>
      </c>
      <c r="I2784" s="1257" t="s">
        <v>3344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3334</v>
      </c>
      <c r="C2785" s="838" t="s">
        <v>3510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3146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3333</v>
      </c>
      <c r="C2786" s="838" t="s">
        <v>3510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3146</v>
      </c>
      <c r="I2786" s="1257" t="s">
        <v>1553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3332</v>
      </c>
      <c r="C2787" s="838" t="s">
        <v>3510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3292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3289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3332</v>
      </c>
      <c r="C2788" s="838" t="s">
        <v>3510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3167</v>
      </c>
      <c r="I2788" s="1257" t="s">
        <v>3168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3331</v>
      </c>
      <c r="C2789" s="838" t="s">
        <v>3510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3348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3289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3331</v>
      </c>
      <c r="C2790" s="838" t="s">
        <v>3509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3342</v>
      </c>
      <c r="I2790" s="1257" t="s">
        <v>3343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3330</v>
      </c>
      <c r="C2791" s="838" t="s">
        <v>3510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3342</v>
      </c>
      <c r="I2791" s="1257" t="s">
        <v>3343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3329</v>
      </c>
      <c r="C2792" s="838" t="s">
        <v>3510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3146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3328</v>
      </c>
      <c r="C2793" s="838" t="s">
        <v>3510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3365</v>
      </c>
      <c r="I2793" s="1251" t="s">
        <v>3348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3289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3327</v>
      </c>
      <c r="C2794" s="838" t="s">
        <v>3510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1644</v>
      </c>
      <c r="I2794" s="1257" t="s">
        <v>3291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3326</v>
      </c>
      <c r="C2795" s="838" t="s">
        <v>3510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3291</v>
      </c>
      <c r="I2795" s="1257" t="s">
        <v>3345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3325</v>
      </c>
      <c r="C2796" s="838" t="s">
        <v>3510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2919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3324</v>
      </c>
      <c r="C2797" s="838" t="s">
        <v>3510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3146</v>
      </c>
      <c r="I2797" s="1257" t="s">
        <v>1553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3323</v>
      </c>
      <c r="C2798" s="838" t="s">
        <v>3510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3365</v>
      </c>
      <c r="I2798" s="1251" t="s">
        <v>3348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3289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3322</v>
      </c>
      <c r="C2799" s="838" t="s">
        <v>3510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3292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3289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3321</v>
      </c>
      <c r="C2800" s="838" t="s">
        <v>3510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3346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3320</v>
      </c>
      <c r="C2801" s="838" t="s">
        <v>3510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3288</v>
      </c>
      <c r="I2801" s="1253" t="s">
        <v>3522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3319</v>
      </c>
      <c r="C2802" s="838" t="s">
        <v>3510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3146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3318</v>
      </c>
      <c r="C2803" s="838" t="s">
        <v>3510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3146</v>
      </c>
      <c r="I2803" s="1257" t="s">
        <v>1553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3317</v>
      </c>
      <c r="C2804" s="838" t="s">
        <v>3510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3146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3316</v>
      </c>
      <c r="C2805" s="838" t="s">
        <v>3510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3365</v>
      </c>
      <c r="I2805" s="1251" t="s">
        <v>3348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3289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3315</v>
      </c>
      <c r="C2806" s="838" t="s">
        <v>3510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3288</v>
      </c>
      <c r="I2806" s="1254" t="s">
        <v>4303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3314</v>
      </c>
      <c r="C2807" s="838" t="s">
        <v>3510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3146</v>
      </c>
      <c r="I2807" s="1257" t="s">
        <v>1553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3313</v>
      </c>
      <c r="C2808" s="838" t="s">
        <v>3510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3167</v>
      </c>
      <c r="I2808" s="1257" t="s">
        <v>3169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3313</v>
      </c>
      <c r="C2809" s="838" t="s">
        <v>3509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3292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3289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3312</v>
      </c>
      <c r="C2810" s="838" t="s">
        <v>3510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3288</v>
      </c>
      <c r="I2810" s="1254" t="s">
        <v>4303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3311</v>
      </c>
      <c r="C2811" s="838" t="s">
        <v>3510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3146</v>
      </c>
      <c r="I2811" s="1257" t="s">
        <v>1553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3310</v>
      </c>
      <c r="C2812" s="838" t="s">
        <v>3510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1537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3289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3310</v>
      </c>
      <c r="C2813" s="838" t="s">
        <v>3510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3365</v>
      </c>
      <c r="I2813" s="1251" t="s">
        <v>3348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3289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3362</v>
      </c>
      <c r="C2814" s="838" t="s">
        <v>3510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3288</v>
      </c>
      <c r="I2814" s="1258" t="s">
        <v>3365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3361</v>
      </c>
      <c r="C2815" s="838" t="s">
        <v>3510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3146</v>
      </c>
      <c r="I2815" s="1257" t="s">
        <v>1553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3360</v>
      </c>
      <c r="C2816" s="838" t="s">
        <v>3510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3146</v>
      </c>
      <c r="I2816" s="1257" t="s">
        <v>1553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3359</v>
      </c>
      <c r="C2817" s="838" t="s">
        <v>3509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3292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3289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3359</v>
      </c>
      <c r="C2818" s="838" t="s">
        <v>3510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3167</v>
      </c>
      <c r="I2818" s="1258" t="s">
        <v>3169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3358</v>
      </c>
      <c r="C2819" s="838" t="s">
        <v>3510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3288</v>
      </c>
      <c r="I2819" s="1254" t="s">
        <v>4303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3357</v>
      </c>
      <c r="C2820" s="838" t="s">
        <v>3510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3146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3356</v>
      </c>
      <c r="C2821" s="838" t="s">
        <v>3510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3167</v>
      </c>
      <c r="I2821" s="1258" t="s">
        <v>3168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3356</v>
      </c>
      <c r="C2822" s="838" t="s">
        <v>3509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3292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3289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3355</v>
      </c>
      <c r="C2823" s="838" t="s">
        <v>3510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3348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3289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3355</v>
      </c>
      <c r="C2824" s="838" t="s">
        <v>3509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3288</v>
      </c>
      <c r="I2824" s="1253" t="s">
        <v>3520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3354</v>
      </c>
      <c r="C2825" s="838" t="s">
        <v>3510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3365</v>
      </c>
      <c r="I2825" s="1251" t="s">
        <v>3348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3289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3353</v>
      </c>
      <c r="C2826" s="838" t="s">
        <v>3510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1644</v>
      </c>
      <c r="I2826" s="1258" t="s">
        <v>1734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3352</v>
      </c>
      <c r="C2827" s="838" t="s">
        <v>3510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1644</v>
      </c>
      <c r="I2827" s="1258" t="s">
        <v>1734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3351</v>
      </c>
      <c r="C2828" s="838" t="s">
        <v>3510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3146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3350</v>
      </c>
      <c r="C2829" s="838" t="s">
        <v>3510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4316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3289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3350</v>
      </c>
      <c r="C2830" s="838" t="s">
        <v>3509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3167</v>
      </c>
      <c r="I2830" s="1258" t="s">
        <v>3169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3349</v>
      </c>
      <c r="C2831" s="838" t="s">
        <v>3510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3366</v>
      </c>
      <c r="I2831" s="1258" t="s">
        <v>3367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3480</v>
      </c>
      <c r="C2832" s="838" t="s">
        <v>3510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3288</v>
      </c>
      <c r="I2832" s="1253" t="s">
        <v>3521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3479</v>
      </c>
      <c r="C2833" s="838" t="s">
        <v>3510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1644</v>
      </c>
      <c r="I2833" s="1259" t="s">
        <v>2849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3478</v>
      </c>
      <c r="C2834" s="838" t="s">
        <v>3510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1644</v>
      </c>
      <c r="I2834" s="1259" t="s">
        <v>2333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3477</v>
      </c>
      <c r="C2835" s="838" t="s">
        <v>3510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3365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3481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3476</v>
      </c>
      <c r="C2836" s="838" t="s">
        <v>3510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3291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3475</v>
      </c>
      <c r="C2837" s="838" t="s">
        <v>3510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3146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3475</v>
      </c>
      <c r="C2838" s="838" t="s">
        <v>3510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1644</v>
      </c>
      <c r="I2838" s="1259" t="s">
        <v>2332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3474</v>
      </c>
      <c r="C2839" s="838" t="s">
        <v>3510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3481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3473</v>
      </c>
      <c r="C2840" s="838" t="s">
        <v>3510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3365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2126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3472</v>
      </c>
      <c r="C2841" s="838" t="s">
        <v>3510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1644</v>
      </c>
      <c r="I2841" s="1259" t="s">
        <v>2302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3471</v>
      </c>
      <c r="C2842" s="838" t="s">
        <v>3510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3167</v>
      </c>
      <c r="I2842" s="1259" t="s">
        <v>3169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3471</v>
      </c>
      <c r="C2843" s="838" t="s">
        <v>3509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3292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3470</v>
      </c>
      <c r="C2844" s="838" t="s">
        <v>3510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3348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3289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3470</v>
      </c>
      <c r="C2845" s="838" t="s">
        <v>3509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3288</v>
      </c>
      <c r="I2845" s="1254" t="s">
        <v>4303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3469</v>
      </c>
      <c r="C2846" s="838" t="s">
        <v>3510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3146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3468</v>
      </c>
      <c r="C2847" s="838" t="s">
        <v>3510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3167</v>
      </c>
      <c r="I2847" s="1259" t="s">
        <v>3168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3468</v>
      </c>
      <c r="C2848" s="838" t="s">
        <v>3509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3292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3467</v>
      </c>
      <c r="C2849" s="838" t="s">
        <v>3510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3146</v>
      </c>
      <c r="I2849" s="1259" t="s">
        <v>1553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3466</v>
      </c>
      <c r="C2850" s="838" t="s">
        <v>3510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3348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3289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3465</v>
      </c>
      <c r="C2851" s="838" t="s">
        <v>3510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1537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3289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3465</v>
      </c>
      <c r="C2852" s="838" t="s">
        <v>3510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3365</v>
      </c>
      <c r="I2852" s="1251" t="s">
        <v>3348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3289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3464</v>
      </c>
      <c r="C2853" s="838" t="s">
        <v>3510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3146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3484</v>
      </c>
      <c r="C2854" s="838" t="s">
        <v>3509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3292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3463</v>
      </c>
      <c r="C2855" s="838" t="s">
        <v>3510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3146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3463</v>
      </c>
      <c r="C2856" s="838" t="s">
        <v>3510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1644</v>
      </c>
      <c r="I2856" s="1259" t="s">
        <v>2272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3462</v>
      </c>
      <c r="C2857" s="838" t="s">
        <v>3510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3146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3461</v>
      </c>
      <c r="C2858" s="838" t="s">
        <v>3509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3292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3461</v>
      </c>
      <c r="C2859" s="838" t="s">
        <v>3510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3167</v>
      </c>
      <c r="I2859" s="1259" t="s">
        <v>3169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3460</v>
      </c>
      <c r="C2860" s="838" t="s">
        <v>3510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3288</v>
      </c>
      <c r="I2860" s="1254" t="s">
        <v>4303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3459</v>
      </c>
      <c r="C2861" s="838" t="s">
        <v>3510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3146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3458</v>
      </c>
      <c r="C2862" s="838" t="s">
        <v>3510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3146</v>
      </c>
      <c r="I2862" s="1259" t="s">
        <v>1553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3457</v>
      </c>
      <c r="C2863" s="838" t="s">
        <v>3510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3291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3483</v>
      </c>
      <c r="C2864" s="838" t="s">
        <v>3509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3292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3456</v>
      </c>
      <c r="C2865" s="838" t="s">
        <v>3510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3288</v>
      </c>
      <c r="I2865" s="1258" t="s">
        <v>3365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3455</v>
      </c>
      <c r="C2866" s="838" t="s">
        <v>3510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3288</v>
      </c>
      <c r="I2866" s="1254" t="s">
        <v>4303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3454</v>
      </c>
      <c r="C2867" s="838" t="s">
        <v>3510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4316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2919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3454</v>
      </c>
      <c r="C2868" s="838" t="s">
        <v>3509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3167</v>
      </c>
      <c r="I2868" s="1259" t="s">
        <v>3169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3453</v>
      </c>
      <c r="C2869" s="838" t="s">
        <v>3510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3288</v>
      </c>
      <c r="I2869" s="1254" t="s">
        <v>4303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3452</v>
      </c>
      <c r="C2870" s="838" t="s">
        <v>3510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1644</v>
      </c>
      <c r="I2870" s="1259" t="s">
        <v>2915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3451</v>
      </c>
      <c r="C2871" s="838" t="s">
        <v>3510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3365</v>
      </c>
      <c r="I2871" s="1251" t="s">
        <v>3348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3289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3450</v>
      </c>
      <c r="C2872" s="838" t="s">
        <v>3510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3146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3449</v>
      </c>
      <c r="C2873" s="838" t="s">
        <v>3510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1434" t="s">
        <v>4683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3449</v>
      </c>
      <c r="C2874" s="838" t="s">
        <v>3509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1434" t="s">
        <v>4683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3448</v>
      </c>
      <c r="C2875" s="838" t="s">
        <v>3510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3146</v>
      </c>
      <c r="I2875" s="1259" t="s">
        <v>1553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3447</v>
      </c>
      <c r="C2876" s="838" t="s">
        <v>3510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3291</v>
      </c>
      <c r="I2876" s="1259" t="s">
        <v>3345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3446</v>
      </c>
      <c r="C2877" s="838" t="s">
        <v>3510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3288</v>
      </c>
      <c r="I2877" s="1254" t="s">
        <v>4302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3445</v>
      </c>
      <c r="C2878" s="838" t="s">
        <v>3510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3292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3444</v>
      </c>
      <c r="C2879" s="838" t="s">
        <v>3510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3288</v>
      </c>
      <c r="I2879" s="1258" t="s">
        <v>3365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3443</v>
      </c>
      <c r="C2880" s="838" t="s">
        <v>3510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3146</v>
      </c>
      <c r="I2880" s="1259" t="s">
        <v>1553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3442</v>
      </c>
      <c r="C2881" s="838" t="s">
        <v>3510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3146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3441</v>
      </c>
      <c r="C2882" s="838" t="s">
        <v>3510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3365</v>
      </c>
      <c r="I2882" s="1251" t="s">
        <v>3348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3289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3440</v>
      </c>
      <c r="C2883" s="838" t="s">
        <v>3510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3146</v>
      </c>
      <c r="I2883" s="1259" t="s">
        <v>1553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3439</v>
      </c>
      <c r="C2884" s="838" t="s">
        <v>3510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3146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3438</v>
      </c>
      <c r="C2885" s="838" t="s">
        <v>3510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3366</v>
      </c>
      <c r="I2885" s="1258" t="s">
        <v>3367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3437</v>
      </c>
      <c r="C2886" s="838" t="s">
        <v>3510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3366</v>
      </c>
      <c r="I2886" s="1258" t="s">
        <v>3367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3436</v>
      </c>
      <c r="C2887" s="838" t="s">
        <v>3510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3146</v>
      </c>
      <c r="I2887" s="1259" t="s">
        <v>1553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3435</v>
      </c>
      <c r="C2888" s="838" t="s">
        <v>3510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3292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3434</v>
      </c>
      <c r="C2889" s="838" t="s">
        <v>3510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3146</v>
      </c>
      <c r="I2889" s="1259" t="s">
        <v>1553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3433</v>
      </c>
      <c r="C2890" s="838" t="s">
        <v>3510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3365</v>
      </c>
      <c r="I2890" s="1251" t="s">
        <v>3348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3289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3432</v>
      </c>
      <c r="C2891" s="838" t="s">
        <v>3510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3292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3431</v>
      </c>
      <c r="C2892" s="838" t="s">
        <v>3510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3146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3430</v>
      </c>
      <c r="C2893" s="838" t="s">
        <v>3510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3288</v>
      </c>
      <c r="I2893" s="1254" t="s">
        <v>4302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3429</v>
      </c>
      <c r="C2894" s="838" t="s">
        <v>3510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3291</v>
      </c>
      <c r="I2894" s="1259" t="s">
        <v>3482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3428</v>
      </c>
      <c r="C2895" s="838" t="s">
        <v>3510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1644</v>
      </c>
      <c r="I2895" s="1259" t="s">
        <v>2915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3427</v>
      </c>
      <c r="C2896" s="838" t="s">
        <v>3510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3146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3426</v>
      </c>
      <c r="C2897" s="838" t="s">
        <v>3510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3288</v>
      </c>
      <c r="I2897" s="1258" t="s">
        <v>3365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3425</v>
      </c>
      <c r="C2898" s="838" t="s">
        <v>3510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3291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3424</v>
      </c>
      <c r="C2899" s="838" t="s">
        <v>3510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4316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3289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3496</v>
      </c>
      <c r="C2900" s="838" t="s">
        <v>3510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1434" t="s">
        <v>4683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3495</v>
      </c>
      <c r="C2901" s="838" t="s">
        <v>3510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1434" t="s">
        <v>4683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3494</v>
      </c>
      <c r="C2902" s="838" t="s">
        <v>3510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1644</v>
      </c>
      <c r="I2902" s="1260" t="s">
        <v>2849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3493</v>
      </c>
      <c r="C2903" s="838" t="s">
        <v>3510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3288</v>
      </c>
      <c r="I2903" s="1253" t="s">
        <v>3520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3493</v>
      </c>
      <c r="C2904" s="838" t="s">
        <v>3509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3365</v>
      </c>
      <c r="I2904" s="1251" t="s">
        <v>3348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3289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3492</v>
      </c>
      <c r="C2905" s="838" t="s">
        <v>3510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2126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3491</v>
      </c>
      <c r="C2906" s="838" t="s">
        <v>3510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1644</v>
      </c>
      <c r="I2906" s="1260" t="s">
        <v>1733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3490</v>
      </c>
      <c r="C2907" s="838" t="s">
        <v>3510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3291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3489</v>
      </c>
      <c r="C2908" s="838" t="s">
        <v>3510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3292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3488</v>
      </c>
      <c r="C2909" s="838" t="s">
        <v>3510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3365</v>
      </c>
      <c r="I2909" s="1251" t="s">
        <v>3348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3289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3488</v>
      </c>
      <c r="C2910" s="838" t="s">
        <v>3510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1537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3289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3487</v>
      </c>
      <c r="C2911" s="838" t="s">
        <v>3510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3288</v>
      </c>
      <c r="I2911" s="1254" t="s">
        <v>4303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3486</v>
      </c>
      <c r="C2912" s="838" t="s">
        <v>3510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3292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3502</v>
      </c>
      <c r="C2913" s="838" t="s">
        <v>3510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1644</v>
      </c>
      <c r="I2913" s="1261" t="s">
        <v>2915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3501</v>
      </c>
      <c r="C2914" s="838" t="s">
        <v>3510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3288</v>
      </c>
      <c r="I2914" s="1254" t="s">
        <v>4302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3501</v>
      </c>
      <c r="C2915" s="838" t="s">
        <v>3510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1644</v>
      </c>
      <c r="I2915" s="1261" t="s">
        <v>1751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3500</v>
      </c>
      <c r="C2916" s="838" t="s">
        <v>3510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3291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3506</v>
      </c>
      <c r="C2917" s="838" t="s">
        <v>3509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3365</v>
      </c>
      <c r="I2917" s="1251" t="s">
        <v>3348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3289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3505</v>
      </c>
      <c r="C2918" s="838" t="s">
        <v>3509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3365</v>
      </c>
      <c r="I2918" s="1251" t="s">
        <v>3348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3289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3499</v>
      </c>
      <c r="C2919" s="838" t="s">
        <v>3510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3292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3499</v>
      </c>
      <c r="C2920" s="838" t="s">
        <v>3509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3167</v>
      </c>
      <c r="I2920" s="1261" t="s">
        <v>3168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3504</v>
      </c>
      <c r="C2921" s="838" t="s">
        <v>3509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3348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3289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3504</v>
      </c>
      <c r="C2922" s="838" t="s">
        <v>3508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3211</v>
      </c>
      <c r="I2922" s="1261" t="s">
        <v>1537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3499</v>
      </c>
      <c r="C2923" s="838" t="s">
        <v>3508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3211</v>
      </c>
      <c r="I2923" s="1261" t="s">
        <v>3212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3498</v>
      </c>
      <c r="C2924" s="838" t="s">
        <v>3510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3292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3498</v>
      </c>
      <c r="C2925" s="838" t="s">
        <v>3509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4316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3289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3498</v>
      </c>
      <c r="C2926" s="838" t="s">
        <v>3509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3167</v>
      </c>
      <c r="I2926" s="1261" t="s">
        <v>3168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3503</v>
      </c>
      <c r="C2927" s="838" t="s">
        <v>3509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3348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3289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3518</v>
      </c>
      <c r="C2928" s="838" t="s">
        <v>3508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3211</v>
      </c>
      <c r="I2928" s="1261" t="s">
        <v>1537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3519</v>
      </c>
      <c r="C2929" s="838" t="s">
        <v>3508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3211</v>
      </c>
      <c r="I2929" s="1261" t="s">
        <v>3212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3514</v>
      </c>
      <c r="C2930" s="838" t="s">
        <v>3510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3366</v>
      </c>
      <c r="I2930" s="1253" t="s">
        <v>3367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3516</v>
      </c>
      <c r="C2931" s="838" t="s">
        <v>3509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3365</v>
      </c>
      <c r="I2931" s="1251" t="s">
        <v>3348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3289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3513</v>
      </c>
      <c r="C2932" s="838" t="s">
        <v>3510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3292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3515</v>
      </c>
      <c r="C2933" s="838" t="s">
        <v>3509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3365</v>
      </c>
      <c r="I2933" s="1251" t="s">
        <v>3348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3289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3512</v>
      </c>
      <c r="C2934" s="838" t="s">
        <v>3510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3366</v>
      </c>
      <c r="I2934" s="1253" t="s">
        <v>3367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3511</v>
      </c>
      <c r="C2935" s="838" t="s">
        <v>3510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3288</v>
      </c>
      <c r="I2935" s="1253" t="s">
        <v>3520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3511</v>
      </c>
      <c r="C2936" s="838" t="s">
        <v>3508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3211</v>
      </c>
      <c r="I2936" s="1261" t="s">
        <v>3212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3517</v>
      </c>
      <c r="C2937" s="838" t="s">
        <v>3508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3211</v>
      </c>
      <c r="I2937" s="1261" t="s">
        <v>1537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3532</v>
      </c>
      <c r="C2938" s="838" t="s">
        <v>3510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3146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3531</v>
      </c>
      <c r="C2939" s="838" t="s">
        <v>3510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3533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3530</v>
      </c>
      <c r="C2940" s="838" t="s">
        <v>3510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3292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3529</v>
      </c>
      <c r="C2941" s="838" t="s">
        <v>3510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3146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3528</v>
      </c>
      <c r="C2942" s="838" t="s">
        <v>3510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3292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3527</v>
      </c>
      <c r="C2943" s="838" t="s">
        <v>3510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3211</v>
      </c>
      <c r="I2943" s="1261" t="s">
        <v>3212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3526</v>
      </c>
      <c r="C2944" s="838" t="s">
        <v>3510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3211</v>
      </c>
      <c r="I2944" s="1261" t="s">
        <v>1537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3579</v>
      </c>
      <c r="C2945" s="838" t="s">
        <v>3510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1644</v>
      </c>
      <c r="I2945" s="1251" t="s">
        <v>2849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3578</v>
      </c>
      <c r="C2946" s="838" t="s">
        <v>3510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3292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3577</v>
      </c>
      <c r="C2947" s="838" t="s">
        <v>3510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3146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3554</v>
      </c>
      <c r="C2948" s="859" t="s">
        <v>3509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3211</v>
      </c>
      <c r="I2948" s="1251" t="s">
        <v>3212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3554</v>
      </c>
      <c r="C2949" s="859" t="s">
        <v>3510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1434" t="s">
        <v>4683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3553</v>
      </c>
      <c r="C2950" s="859" t="s">
        <v>3509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3211</v>
      </c>
      <c r="I2950" s="1251" t="s">
        <v>1537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3553</v>
      </c>
      <c r="C2951" s="859" t="s">
        <v>3510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3288</v>
      </c>
      <c r="I2951" s="1251" t="s">
        <v>3520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3576</v>
      </c>
      <c r="C2952" s="859" t="s">
        <v>3510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2126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3575</v>
      </c>
      <c r="C2953" s="859" t="s">
        <v>3510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3533</v>
      </c>
      <c r="I2953" s="1251" t="s">
        <v>3584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3575</v>
      </c>
      <c r="C2954" s="859" t="s">
        <v>3510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3146</v>
      </c>
      <c r="I2954" s="1251" t="s">
        <v>3583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3574</v>
      </c>
      <c r="C2955" s="859" t="s">
        <v>3510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3292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3573</v>
      </c>
      <c r="C2956" s="859" t="s">
        <v>3510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3366</v>
      </c>
      <c r="I2956" s="1251" t="s">
        <v>3367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3552</v>
      </c>
      <c r="C2957" s="859" t="s">
        <v>3509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4316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3289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3572</v>
      </c>
      <c r="C2958" s="859" t="s">
        <v>3510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3292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3551</v>
      </c>
      <c r="C2959" s="859" t="s">
        <v>3509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3348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3289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3550</v>
      </c>
      <c r="C2960" s="859" t="s">
        <v>3509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3365</v>
      </c>
      <c r="I2960" s="1251" t="s">
        <v>3348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3289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3571</v>
      </c>
      <c r="C2961" s="859" t="s">
        <v>3510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3146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3570</v>
      </c>
      <c r="C2962" s="859" t="s">
        <v>3510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3146</v>
      </c>
      <c r="I2962" s="1251" t="s">
        <v>1553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3569</v>
      </c>
      <c r="C2963" s="859" t="s">
        <v>3510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3292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3568</v>
      </c>
      <c r="C2964" s="859" t="s">
        <v>3510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3292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3549</v>
      </c>
      <c r="C2965" s="859" t="s">
        <v>3509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3211</v>
      </c>
      <c r="I2965" s="1251" t="s">
        <v>3212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3548</v>
      </c>
      <c r="C2966" s="859" t="s">
        <v>3509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3211</v>
      </c>
      <c r="I2966" s="1251" t="s">
        <v>1537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3548</v>
      </c>
      <c r="C2967" s="859" t="s">
        <v>3510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3288</v>
      </c>
      <c r="I2967" s="1254" t="s">
        <v>4303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3567</v>
      </c>
      <c r="C2968" s="859" t="s">
        <v>3510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3292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3547</v>
      </c>
      <c r="C2969" s="859" t="s">
        <v>3509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3211</v>
      </c>
      <c r="I2969" s="1251" t="s">
        <v>3212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3546</v>
      </c>
      <c r="C2970" s="859" t="s">
        <v>3509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3211</v>
      </c>
      <c r="I2970" s="1251" t="s">
        <v>1537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3546</v>
      </c>
      <c r="C2971" s="859" t="s">
        <v>3510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3288</v>
      </c>
      <c r="I2971" s="1254" t="s">
        <v>4303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3545</v>
      </c>
      <c r="C2972" s="859" t="s">
        <v>3509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3211</v>
      </c>
      <c r="I2972" s="1251" t="s">
        <v>3212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3544</v>
      </c>
      <c r="C2973" s="859" t="s">
        <v>3509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3211</v>
      </c>
      <c r="I2973" s="1251" t="s">
        <v>1537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3544</v>
      </c>
      <c r="C2974" s="859" t="s">
        <v>3510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3288</v>
      </c>
      <c r="I2974" s="1254" t="s">
        <v>4303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3566</v>
      </c>
      <c r="C2975" s="859" t="s">
        <v>3510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3292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3543</v>
      </c>
      <c r="C2976" s="859" t="s">
        <v>3509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3211</v>
      </c>
      <c r="I2976" s="1251" t="s">
        <v>3212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3542</v>
      </c>
      <c r="C2977" s="859" t="s">
        <v>3509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3211</v>
      </c>
      <c r="I2977" s="1251" t="s">
        <v>1537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3542</v>
      </c>
      <c r="C2978" s="859" t="s">
        <v>3510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3288</v>
      </c>
      <c r="I2978" s="1254" t="s">
        <v>4302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3565</v>
      </c>
      <c r="C2979" s="859" t="s">
        <v>3510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3365</v>
      </c>
      <c r="I2979" s="1251" t="s">
        <v>3348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3289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3564</v>
      </c>
      <c r="C2980" s="859" t="s">
        <v>3510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3292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3563</v>
      </c>
      <c r="C2981" s="859" t="s">
        <v>3510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3292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3562</v>
      </c>
      <c r="C2982" s="859" t="s">
        <v>3510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1644</v>
      </c>
      <c r="I2982" s="1251" t="s">
        <v>2916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3535</v>
      </c>
      <c r="C2983" s="859" t="s">
        <v>3510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3292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3535</v>
      </c>
      <c r="C2984" s="859" t="s">
        <v>3508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3211</v>
      </c>
      <c r="I2984" s="1251" t="s">
        <v>3212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3534</v>
      </c>
      <c r="C2985" s="859" t="s">
        <v>3509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2404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3534</v>
      </c>
      <c r="C2986" s="859" t="s">
        <v>3510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3288</v>
      </c>
      <c r="I2986" s="1251" t="s">
        <v>3520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3534</v>
      </c>
      <c r="C2987" s="859" t="s">
        <v>3510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1644</v>
      </c>
      <c r="I2987" s="1251" t="s">
        <v>1751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3534</v>
      </c>
      <c r="C2988" s="859" t="s">
        <v>3508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3211</v>
      </c>
      <c r="I2988" s="1251" t="s">
        <v>1537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3561</v>
      </c>
      <c r="C2989" s="859" t="s">
        <v>3510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3533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3560</v>
      </c>
      <c r="C2990" s="859" t="s">
        <v>3510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1644</v>
      </c>
      <c r="I2990" s="1251" t="s">
        <v>1769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3559</v>
      </c>
      <c r="C2991" s="859" t="s">
        <v>3510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3533</v>
      </c>
      <c r="I2991" s="1251" t="s">
        <v>1755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3541</v>
      </c>
      <c r="C2992" s="859" t="s">
        <v>3509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3211</v>
      </c>
      <c r="I2992" s="1251" t="s">
        <v>3212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3558</v>
      </c>
      <c r="C2993" s="859" t="s">
        <v>3510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3292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3540</v>
      </c>
      <c r="C2994" s="859" t="s">
        <v>3509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3211</v>
      </c>
      <c r="I2994" s="1251" t="s">
        <v>1537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3540</v>
      </c>
      <c r="C2995" s="859" t="s">
        <v>3510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3288</v>
      </c>
      <c r="I2995" s="1254" t="s">
        <v>4303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3539</v>
      </c>
      <c r="C2996" s="859" t="s">
        <v>3509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3211</v>
      </c>
      <c r="I2996" s="1251" t="s">
        <v>3212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3539</v>
      </c>
      <c r="C2997" s="859" t="s">
        <v>3510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1434" t="s">
        <v>4683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3538</v>
      </c>
      <c r="C2998" s="859" t="s">
        <v>3509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3211</v>
      </c>
      <c r="I2998" s="1251" t="s">
        <v>3212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3537</v>
      </c>
      <c r="C2999" s="859" t="s">
        <v>3509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3211</v>
      </c>
      <c r="I2999" s="1251" t="s">
        <v>1537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3537</v>
      </c>
      <c r="C3000" s="859" t="s">
        <v>3510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3288</v>
      </c>
      <c r="I3000" s="1251" t="s">
        <v>3520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3536</v>
      </c>
      <c r="C3001" s="859" t="s">
        <v>3509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3211</v>
      </c>
      <c r="I3001" s="1251" t="s">
        <v>1537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3536</v>
      </c>
      <c r="C3002" s="859" t="s">
        <v>3510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3288</v>
      </c>
      <c r="I3002" s="1254" t="s">
        <v>4303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3557</v>
      </c>
      <c r="C3003" s="859" t="s">
        <v>3510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3533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3556</v>
      </c>
      <c r="C3004" s="859" t="s">
        <v>3510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3291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3593</v>
      </c>
      <c r="C3005" s="859" t="s">
        <v>3510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3292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3592</v>
      </c>
      <c r="C3006" s="859" t="s">
        <v>3510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3348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3289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3591</v>
      </c>
      <c r="C3007" s="859" t="s">
        <v>3510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3596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3594</v>
      </c>
      <c r="C3008" s="870" t="s">
        <v>3509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3211</v>
      </c>
      <c r="I3008" s="1251" t="s">
        <v>3212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3590</v>
      </c>
      <c r="C3009" s="859" t="s">
        <v>3510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3288</v>
      </c>
      <c r="I3009" s="1263" t="s">
        <v>3520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3590</v>
      </c>
      <c r="C3010" s="870" t="s">
        <v>3509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3211</v>
      </c>
      <c r="I3010" s="1251" t="s">
        <v>1537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3589</v>
      </c>
      <c r="C3011" s="870" t="s">
        <v>3509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3167</v>
      </c>
      <c r="I3011" s="1263" t="s">
        <v>3595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3589</v>
      </c>
      <c r="C3012" s="859" t="s">
        <v>3510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3292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3588</v>
      </c>
      <c r="C3013" s="859" t="s">
        <v>3510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3366</v>
      </c>
      <c r="I3013" s="1264" t="s">
        <v>3779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3601</v>
      </c>
      <c r="C3014" s="859" t="s">
        <v>3510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3533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3600</v>
      </c>
      <c r="C3015" s="859" t="s">
        <v>3510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3365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3289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3599</v>
      </c>
      <c r="C3016" s="859" t="s">
        <v>3510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1644</v>
      </c>
      <c r="I3016" s="1265" t="s">
        <v>2915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3602</v>
      </c>
      <c r="C3017" s="870" t="s">
        <v>3509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3211</v>
      </c>
      <c r="I3017" s="1251" t="s">
        <v>3212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3598</v>
      </c>
      <c r="C3018" s="859" t="s">
        <v>3510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3288</v>
      </c>
      <c r="I3018" s="1254" t="s">
        <v>4303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3598</v>
      </c>
      <c r="C3019" s="870" t="s">
        <v>3509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3211</v>
      </c>
      <c r="I3019" s="1251" t="s">
        <v>1537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3610</v>
      </c>
      <c r="C3020" s="859" t="s">
        <v>3510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3365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3289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3609</v>
      </c>
      <c r="C3021" s="859" t="s">
        <v>3510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3291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3608</v>
      </c>
      <c r="C3022" s="859" t="s">
        <v>3510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3612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3608</v>
      </c>
      <c r="C3023" s="870" t="s">
        <v>3509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3167</v>
      </c>
      <c r="I3023" s="1266" t="s">
        <v>3169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3607</v>
      </c>
      <c r="C3024" s="859" t="s">
        <v>3510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3288</v>
      </c>
      <c r="I3024" s="1254" t="s">
        <v>4302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3606</v>
      </c>
      <c r="C3025" s="859" t="s">
        <v>3510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1644</v>
      </c>
      <c r="I3025" s="1266" t="s">
        <v>1540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3611</v>
      </c>
      <c r="C3026" s="870" t="s">
        <v>3509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3211</v>
      </c>
      <c r="I3026" s="1251" t="s">
        <v>3212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3605</v>
      </c>
      <c r="C3027" s="859" t="s">
        <v>3510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3288</v>
      </c>
      <c r="I3027" s="1266" t="s">
        <v>3520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3605</v>
      </c>
      <c r="C3028" s="870" t="s">
        <v>3509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3211</v>
      </c>
      <c r="I3028" s="1251" t="s">
        <v>1537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3630</v>
      </c>
      <c r="C3029" s="859" t="s">
        <v>3510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3631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3629</v>
      </c>
      <c r="C3030" s="859" t="s">
        <v>3510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3365</v>
      </c>
      <c r="I3030" s="1267" t="s">
        <v>3348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3289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3628</v>
      </c>
      <c r="C3031" s="859" t="s">
        <v>3510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3365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3632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3627</v>
      </c>
      <c r="C3032" s="859" t="s">
        <v>3510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1644</v>
      </c>
      <c r="I3032" s="1267" t="s">
        <v>1769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3624</v>
      </c>
      <c r="C3033" s="870" t="s">
        <v>3509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3211</v>
      </c>
      <c r="I3033" s="1251" t="s">
        <v>3212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3623</v>
      </c>
      <c r="C3034" s="870" t="s">
        <v>3509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3211</v>
      </c>
      <c r="I3034" s="1251" t="s">
        <v>1537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3623</v>
      </c>
      <c r="C3035" s="859" t="s">
        <v>3510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3288</v>
      </c>
      <c r="I3035" s="1254" t="s">
        <v>4303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3622</v>
      </c>
      <c r="C3036" s="870" t="s">
        <v>3509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3211</v>
      </c>
      <c r="I3036" s="1251" t="s">
        <v>3212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3622</v>
      </c>
      <c r="C3037" s="859" t="s">
        <v>3510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3292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3621</v>
      </c>
      <c r="C3038" s="870" t="s">
        <v>3509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3211</v>
      </c>
      <c r="I3038" s="1251" t="s">
        <v>1537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3621</v>
      </c>
      <c r="C3039" s="889" t="s">
        <v>3510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3288</v>
      </c>
      <c r="I3039" s="1254" t="s">
        <v>4302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3620</v>
      </c>
      <c r="C3040" s="889" t="s">
        <v>3508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3211</v>
      </c>
      <c r="I3040" s="1251" t="s">
        <v>1537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3625</v>
      </c>
      <c r="C3041" s="889" t="s">
        <v>3508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3211</v>
      </c>
      <c r="I3041" s="1251" t="s">
        <v>3212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3620</v>
      </c>
      <c r="C3042" s="870" t="s">
        <v>3509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3365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2919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3620</v>
      </c>
      <c r="C3043" s="859" t="s">
        <v>3510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3288</v>
      </c>
      <c r="I3043" s="1267" t="s">
        <v>3520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2919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3626</v>
      </c>
      <c r="C3044" s="859" t="s">
        <v>3510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3292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3644</v>
      </c>
      <c r="C3045" s="859" t="s">
        <v>3510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1644</v>
      </c>
      <c r="I3045" s="1268" t="s">
        <v>3291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3645</v>
      </c>
      <c r="C3046" s="870" t="s">
        <v>3509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3211</v>
      </c>
      <c r="I3046" s="1251" t="s">
        <v>3212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3643</v>
      </c>
      <c r="C3047" s="859" t="s">
        <v>3510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3288</v>
      </c>
      <c r="I3047" s="1254" t="s">
        <v>4303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3643</v>
      </c>
      <c r="C3048" s="870" t="s">
        <v>3509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3211</v>
      </c>
      <c r="I3048" s="1251" t="s">
        <v>1537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3642</v>
      </c>
      <c r="C3049" s="859" t="s">
        <v>3510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1644</v>
      </c>
      <c r="I3049" s="1268" t="s">
        <v>1540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3641</v>
      </c>
      <c r="C3050" s="859" t="s">
        <v>3510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1644</v>
      </c>
      <c r="I3050" s="1268" t="s">
        <v>1733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3640</v>
      </c>
      <c r="C3051" s="859" t="s">
        <v>3510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1644</v>
      </c>
      <c r="I3051" s="1268" t="s">
        <v>2333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3639</v>
      </c>
      <c r="C3052" s="859" t="s">
        <v>3510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3291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3638</v>
      </c>
      <c r="C3053" s="859" t="s">
        <v>3510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1644</v>
      </c>
      <c r="I3053" s="1268" t="s">
        <v>1751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3637</v>
      </c>
      <c r="C3054" s="859" t="s">
        <v>3510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3365</v>
      </c>
      <c r="I3054" s="1268" t="s">
        <v>3348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3289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3636</v>
      </c>
      <c r="C3055" s="859" t="s">
        <v>3510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1644</v>
      </c>
      <c r="I3055" s="1268" t="s">
        <v>2333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3635</v>
      </c>
      <c r="C3056" s="859" t="s">
        <v>3510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1644</v>
      </c>
      <c r="I3056" s="1268" t="s">
        <v>3291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3634</v>
      </c>
      <c r="C3057" s="859" t="s">
        <v>3510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1644</v>
      </c>
      <c r="I3057" s="1268" t="s">
        <v>1693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3668</v>
      </c>
      <c r="C3058" s="859" t="s">
        <v>3510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3292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3668</v>
      </c>
      <c r="C3059" s="870" t="s">
        <v>3509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3211</v>
      </c>
      <c r="I3059" s="1251" t="s">
        <v>3212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3667</v>
      </c>
      <c r="C3060" s="859" t="s">
        <v>3510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3288</v>
      </c>
      <c r="I3060" s="1269" t="s">
        <v>3520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3667</v>
      </c>
      <c r="C3061" s="870" t="s">
        <v>3509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3211</v>
      </c>
      <c r="I3061" s="1251" t="s">
        <v>1537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3673</v>
      </c>
      <c r="C3062" s="859" t="s">
        <v>3510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1644</v>
      </c>
      <c r="I3062" s="1269" t="s">
        <v>1540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3672</v>
      </c>
      <c r="C3063" s="859" t="s">
        <v>3510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1644</v>
      </c>
      <c r="I3063" s="1269" t="s">
        <v>3291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3671</v>
      </c>
      <c r="C3064" s="859" t="s">
        <v>3510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1644</v>
      </c>
      <c r="I3064" s="1269" t="s">
        <v>2849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3665</v>
      </c>
      <c r="C3065" s="859" t="s">
        <v>3510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1644</v>
      </c>
      <c r="I3065" s="1269" t="s">
        <v>2916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3664</v>
      </c>
      <c r="C3066" s="859" t="s">
        <v>3510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1644</v>
      </c>
      <c r="I3066" s="1269" t="s">
        <v>1751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3663</v>
      </c>
      <c r="C3067" s="859" t="s">
        <v>3510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1644</v>
      </c>
      <c r="I3067" s="1269" t="s">
        <v>1734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3662</v>
      </c>
      <c r="C3068" s="901" t="s">
        <v>3508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3211</v>
      </c>
      <c r="I3068" s="1251" t="s">
        <v>1537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3670</v>
      </c>
      <c r="C3069" s="901" t="s">
        <v>3508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3211</v>
      </c>
      <c r="I3069" s="1251" t="s">
        <v>3212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3662</v>
      </c>
      <c r="C3070" s="859" t="s">
        <v>3510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3288</v>
      </c>
      <c r="I3070" s="1269" t="s">
        <v>3520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3662</v>
      </c>
      <c r="C3071" s="870" t="s">
        <v>3509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3365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3596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3661</v>
      </c>
      <c r="C3072" s="859" t="s">
        <v>3510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3631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3660</v>
      </c>
      <c r="C3073" s="870" t="s">
        <v>3509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3211</v>
      </c>
      <c r="I3073" s="1251" t="s">
        <v>3212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3660</v>
      </c>
      <c r="C3074" s="859" t="s">
        <v>3510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3292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3659</v>
      </c>
      <c r="C3075" s="859" t="s">
        <v>3510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3288</v>
      </c>
      <c r="I3075" s="1254" t="s">
        <v>4303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3659</v>
      </c>
      <c r="C3076" s="870" t="s">
        <v>3509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3211</v>
      </c>
      <c r="I3076" s="1251" t="s">
        <v>1537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3666</v>
      </c>
      <c r="C3077" s="870" t="s">
        <v>3509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3211</v>
      </c>
      <c r="I3077" s="1251" t="s">
        <v>3212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3658</v>
      </c>
      <c r="C3078" s="859" t="s">
        <v>3510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3288</v>
      </c>
      <c r="I3078" s="1254" t="s">
        <v>4303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3658</v>
      </c>
      <c r="C3079" s="870" t="s">
        <v>3509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3211</v>
      </c>
      <c r="I3079" s="1251" t="s">
        <v>1537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3657</v>
      </c>
      <c r="C3080" s="901" t="s">
        <v>3508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3211</v>
      </c>
      <c r="I3080" s="1251" t="s">
        <v>3212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3669</v>
      </c>
      <c r="C3081" s="901" t="s">
        <v>3508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3211</v>
      </c>
      <c r="I3081" s="1251" t="s">
        <v>1537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3657</v>
      </c>
      <c r="C3082" s="859" t="s">
        <v>3510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3288</v>
      </c>
      <c r="I3082" s="1254" t="s">
        <v>4303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3656</v>
      </c>
      <c r="C3083" s="859" t="s">
        <v>3510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1644</v>
      </c>
      <c r="I3083" s="1433" t="s">
        <v>4682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3655</v>
      </c>
      <c r="C3084" s="859" t="s">
        <v>3510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3365</v>
      </c>
      <c r="I3084" s="1269" t="s">
        <v>3348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3289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3654</v>
      </c>
      <c r="C3085" s="859" t="s">
        <v>3510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1644</v>
      </c>
      <c r="I3085" s="1269" t="s">
        <v>2915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3653</v>
      </c>
      <c r="C3086" s="859" t="s">
        <v>3510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1644</v>
      </c>
      <c r="I3086" s="1269" t="s">
        <v>2915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3652</v>
      </c>
      <c r="C3087" s="859" t="s">
        <v>3510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1644</v>
      </c>
      <c r="I3087" s="1269" t="s">
        <v>2849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3652</v>
      </c>
      <c r="C3088" s="859" t="s">
        <v>3510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1644</v>
      </c>
      <c r="I3088" s="1269" t="s">
        <v>2532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3651</v>
      </c>
      <c r="C3089" s="859" t="s">
        <v>3510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1644</v>
      </c>
      <c r="I3089" s="1269" t="s">
        <v>1540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3650</v>
      </c>
      <c r="C3090" s="859" t="s">
        <v>3510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1644</v>
      </c>
      <c r="I3090" s="1269" t="s">
        <v>1693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3649</v>
      </c>
      <c r="C3091" s="859" t="s">
        <v>3510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1644</v>
      </c>
      <c r="I3091" s="1269" t="s">
        <v>2916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3648</v>
      </c>
      <c r="C3092" s="859" t="s">
        <v>3510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1644</v>
      </c>
      <c r="I3092" s="1269" t="s">
        <v>2302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3647</v>
      </c>
      <c r="C3093" s="859" t="s">
        <v>3510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3292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3646</v>
      </c>
      <c r="C3094" s="859" t="s">
        <v>3510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3348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3289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3675</v>
      </c>
      <c r="C3095" s="859" t="s">
        <v>3510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3292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3676</v>
      </c>
      <c r="C3096" s="870" t="s">
        <v>3509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3211</v>
      </c>
      <c r="I3096" s="1251" t="s">
        <v>3212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3674</v>
      </c>
      <c r="C3097" s="859" t="s">
        <v>3510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3288</v>
      </c>
      <c r="I3097" s="1254" t="s">
        <v>4303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3674</v>
      </c>
      <c r="C3098" s="870" t="s">
        <v>3509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3211</v>
      </c>
      <c r="I3098" s="1251" t="s">
        <v>1537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3679</v>
      </c>
      <c r="C3099" s="911" t="s">
        <v>3508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3211</v>
      </c>
      <c r="I3099" s="1251" t="s">
        <v>3212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3678</v>
      </c>
      <c r="C3100" s="859" t="s">
        <v>3510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3291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3677</v>
      </c>
      <c r="C3101" s="911" t="s">
        <v>3508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3211</v>
      </c>
      <c r="I3101" s="1251" t="s">
        <v>1537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3677</v>
      </c>
      <c r="C3102" s="859" t="s">
        <v>3510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3365</v>
      </c>
      <c r="I3102" s="1271" t="s">
        <v>3348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3289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3677</v>
      </c>
      <c r="C3103" s="870" t="s">
        <v>3509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3288</v>
      </c>
      <c r="I3103" s="1271" t="s">
        <v>3520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3682</v>
      </c>
      <c r="C3104" s="859" t="s">
        <v>3510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1644</v>
      </c>
      <c r="I3104" s="1272" t="s">
        <v>1643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3681</v>
      </c>
      <c r="C3105" s="859" t="s">
        <v>3510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1644</v>
      </c>
      <c r="I3105" s="1269" t="s">
        <v>1693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3680</v>
      </c>
      <c r="C3106" s="859" t="s">
        <v>3510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1644</v>
      </c>
      <c r="I3106" s="1269" t="s">
        <v>1693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3687</v>
      </c>
      <c r="C3107" s="859" t="s">
        <v>3510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1644</v>
      </c>
      <c r="I3107" s="1273" t="s">
        <v>1751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3686</v>
      </c>
      <c r="C3108" s="859" t="s">
        <v>3510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3292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3686</v>
      </c>
      <c r="C3109" s="870" t="s">
        <v>3509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3211</v>
      </c>
      <c r="I3109" s="1251" t="s">
        <v>3212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3685</v>
      </c>
      <c r="C3110" s="870" t="s">
        <v>3509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3211</v>
      </c>
      <c r="I3110" s="1251" t="s">
        <v>1537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3685</v>
      </c>
      <c r="C3111" s="859" t="s">
        <v>3510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3288</v>
      </c>
      <c r="I3111" s="1273" t="s">
        <v>3520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3684</v>
      </c>
      <c r="C3112" s="859" t="s">
        <v>3510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3533</v>
      </c>
      <c r="I3112" s="1273" t="s">
        <v>1755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3683</v>
      </c>
      <c r="C3113" s="859" t="s">
        <v>3510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1644</v>
      </c>
      <c r="I3113" s="1273" t="s">
        <v>1734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3713</v>
      </c>
      <c r="C3114" s="870" t="s">
        <v>3509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3211</v>
      </c>
      <c r="I3114" s="1251" t="s">
        <v>3212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3711</v>
      </c>
      <c r="C3115" s="859" t="s">
        <v>3510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3288</v>
      </c>
      <c r="I3115" s="1254" t="s">
        <v>4303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3711</v>
      </c>
      <c r="C3116" s="870" t="s">
        <v>3509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3211</v>
      </c>
      <c r="I3116" s="1251" t="s">
        <v>1537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3710</v>
      </c>
      <c r="C3117" s="859" t="s">
        <v>3510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1644</v>
      </c>
      <c r="I3117" s="1256" t="s">
        <v>2332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3709</v>
      </c>
      <c r="C3118" s="859" t="s">
        <v>3510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1434" t="s">
        <v>4683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3709</v>
      </c>
      <c r="C3119" s="870" t="s">
        <v>3509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3211</v>
      </c>
      <c r="I3119" s="1251" t="s">
        <v>3212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3708</v>
      </c>
      <c r="C3120" s="859" t="s">
        <v>3510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3288</v>
      </c>
      <c r="I3120" s="1254" t="s">
        <v>4303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3708</v>
      </c>
      <c r="C3121" s="870" t="s">
        <v>3509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3211</v>
      </c>
      <c r="I3121" s="1251" t="s">
        <v>1537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3707</v>
      </c>
      <c r="C3122" s="859" t="s">
        <v>3510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3533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3706</v>
      </c>
      <c r="C3123" s="859" t="s">
        <v>3510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3533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3705</v>
      </c>
      <c r="C3124" s="859" t="s">
        <v>3510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3292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3704</v>
      </c>
      <c r="C3125" s="859" t="s">
        <v>3510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3533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3703</v>
      </c>
      <c r="C3126" s="859" t="s">
        <v>3510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1644</v>
      </c>
      <c r="I3126" s="1256" t="s">
        <v>1734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3702</v>
      </c>
      <c r="C3127" s="859" t="s">
        <v>3510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3291</v>
      </c>
      <c r="I3127" s="1256" t="s">
        <v>3345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3712</v>
      </c>
      <c r="C3128" s="870" t="s">
        <v>3509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3211</v>
      </c>
      <c r="I3128" s="1251" t="s">
        <v>3212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3701</v>
      </c>
      <c r="C3129" s="859" t="s">
        <v>3510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3288</v>
      </c>
      <c r="I3129" s="1254" t="s">
        <v>4302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3701</v>
      </c>
      <c r="C3130" s="870" t="s">
        <v>3509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3211</v>
      </c>
      <c r="I3130" s="1251" t="s">
        <v>1537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3700</v>
      </c>
      <c r="C3131" s="859" t="s">
        <v>3510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1644</v>
      </c>
      <c r="I3131" s="1256" t="s">
        <v>1540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3699</v>
      </c>
      <c r="C3132" s="859" t="s">
        <v>3510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1644</v>
      </c>
      <c r="I3132" s="1256" t="s">
        <v>2849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3698</v>
      </c>
      <c r="C3133" s="859" t="s">
        <v>3510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1434" t="s">
        <v>4683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3697</v>
      </c>
      <c r="C3134" s="859" t="s">
        <v>3510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3291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3715</v>
      </c>
      <c r="C3135" s="870" t="s">
        <v>3509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3211</v>
      </c>
      <c r="I3135" s="1251" t="s">
        <v>3212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3696</v>
      </c>
      <c r="C3136" s="859" t="s">
        <v>3510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3288</v>
      </c>
      <c r="I3136" s="1256" t="s">
        <v>3520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3696</v>
      </c>
      <c r="C3137" s="870" t="s">
        <v>3509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3211</v>
      </c>
      <c r="I3137" s="1251" t="s">
        <v>1537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3695</v>
      </c>
      <c r="C3138" s="859" t="s">
        <v>3510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1434" t="s">
        <v>4683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3714</v>
      </c>
      <c r="C3139" s="870" t="s">
        <v>3509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3211</v>
      </c>
      <c r="I3139" s="1251" t="s">
        <v>3212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3694</v>
      </c>
      <c r="C3140" s="859" t="s">
        <v>3510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3288</v>
      </c>
      <c r="I3140" s="1254" t="s">
        <v>4303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3694</v>
      </c>
      <c r="C3141" s="870" t="s">
        <v>3509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3211</v>
      </c>
      <c r="I3141" s="1251" t="s">
        <v>1537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3693</v>
      </c>
      <c r="C3142" s="859" t="s">
        <v>3510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1644</v>
      </c>
      <c r="I3142" s="1256" t="s">
        <v>2272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3692</v>
      </c>
      <c r="C3143" s="859" t="s">
        <v>3510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1644</v>
      </c>
      <c r="I3143" s="1256" t="s">
        <v>1540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3691</v>
      </c>
      <c r="C3144" s="859" t="s">
        <v>3510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1644</v>
      </c>
      <c r="I3144" s="1256" t="s">
        <v>1540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3689</v>
      </c>
      <c r="C3145" s="935" t="s">
        <v>3508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3348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3289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3690</v>
      </c>
      <c r="C3146" s="935" t="s">
        <v>3508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3612</v>
      </c>
      <c r="I3146" s="1256" t="s">
        <v>3348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3690</v>
      </c>
      <c r="C3147" s="870" t="s">
        <v>3509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3211</v>
      </c>
      <c r="I3147" s="1251" t="s">
        <v>3212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3690</v>
      </c>
      <c r="C3148" s="859" t="s">
        <v>3510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3292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3689</v>
      </c>
      <c r="C3149" s="870" t="s">
        <v>3509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3211</v>
      </c>
      <c r="I3149" s="1251" t="s">
        <v>1537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3689</v>
      </c>
      <c r="C3150" s="859" t="s">
        <v>3510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3288</v>
      </c>
      <c r="I3150" s="1254" t="s">
        <v>4302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3730</v>
      </c>
      <c r="C3151" s="870" t="s">
        <v>3509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3211</v>
      </c>
      <c r="I3151" s="1251" t="s">
        <v>3212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3730</v>
      </c>
      <c r="C3152" s="859" t="s">
        <v>3510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3292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3739</v>
      </c>
      <c r="C3153" s="859" t="s">
        <v>3510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3365</v>
      </c>
      <c r="I3153" s="1274" t="s">
        <v>3741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3289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3729</v>
      </c>
      <c r="C3154" s="870" t="s">
        <v>3509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3211</v>
      </c>
      <c r="I3154" s="1251" t="s">
        <v>1537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3729</v>
      </c>
      <c r="C3155" s="859" t="s">
        <v>3510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3288</v>
      </c>
      <c r="I3155" s="1274" t="s">
        <v>3520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3728</v>
      </c>
      <c r="C3156" s="870" t="s">
        <v>3509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3211</v>
      </c>
      <c r="I3156" s="1251" t="s">
        <v>3212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3727</v>
      </c>
      <c r="C3157" s="870" t="s">
        <v>3509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3211</v>
      </c>
      <c r="I3157" s="1251" t="s">
        <v>1537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3727</v>
      </c>
      <c r="C3158" s="859" t="s">
        <v>3510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3288</v>
      </c>
      <c r="I3158" s="1274" t="s">
        <v>3520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3726</v>
      </c>
      <c r="C3159" s="870" t="s">
        <v>3509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3211</v>
      </c>
      <c r="I3159" s="1251" t="s">
        <v>3212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3725</v>
      </c>
      <c r="C3160" s="870" t="s">
        <v>3509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3211</v>
      </c>
      <c r="I3160" s="1251" t="s">
        <v>1537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3725</v>
      </c>
      <c r="C3161" s="859" t="s">
        <v>3510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3288</v>
      </c>
      <c r="I3161" s="1254" t="s">
        <v>4303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3738</v>
      </c>
      <c r="C3162" s="859" t="s">
        <v>3510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1644</v>
      </c>
      <c r="I3162" s="1274" t="s">
        <v>1540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3737</v>
      </c>
      <c r="C3163" s="859" t="s">
        <v>3510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1644</v>
      </c>
      <c r="I3163" s="1274" t="s">
        <v>2332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3736</v>
      </c>
      <c r="C3164" s="859" t="s">
        <v>3510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1644</v>
      </c>
      <c r="I3164" s="1274" t="s">
        <v>1734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3735</v>
      </c>
      <c r="C3165" s="859" t="s">
        <v>3510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4462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3734</v>
      </c>
      <c r="C3166" s="859" t="s">
        <v>3510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1434" t="s">
        <v>4683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3733</v>
      </c>
      <c r="C3167" s="859" t="s">
        <v>3510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2006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3722</v>
      </c>
      <c r="C3168" s="859" t="s">
        <v>3510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1644</v>
      </c>
      <c r="I3168" s="1274" t="s">
        <v>1540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3721</v>
      </c>
      <c r="C3169" s="870" t="s">
        <v>3509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3211</v>
      </c>
      <c r="I3169" s="1251" t="s">
        <v>3212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3721</v>
      </c>
      <c r="C3170" s="859" t="s">
        <v>3510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3612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3720</v>
      </c>
      <c r="C3171" s="870" t="s">
        <v>3509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3211</v>
      </c>
      <c r="I3171" s="1251" t="s">
        <v>1537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3720</v>
      </c>
      <c r="C3172" s="859" t="s">
        <v>3510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3288</v>
      </c>
      <c r="I3172" s="1274" t="s">
        <v>3521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3732</v>
      </c>
      <c r="C3173" s="859" t="s">
        <v>3510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1644</v>
      </c>
      <c r="I3173" s="1274" t="s">
        <v>1734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3731</v>
      </c>
      <c r="C3174" s="859" t="s">
        <v>3510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3291</v>
      </c>
      <c r="I3174" s="1274" t="s">
        <v>3345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3749</v>
      </c>
      <c r="C3175" s="859" t="s">
        <v>3510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1644</v>
      </c>
      <c r="I3175" s="1275" t="s">
        <v>1540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3750</v>
      </c>
      <c r="C3176" s="870" t="s">
        <v>3509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3211</v>
      </c>
      <c r="I3176" s="1251" t="s">
        <v>3212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3748</v>
      </c>
      <c r="C3177" s="859" t="s">
        <v>3510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3288</v>
      </c>
      <c r="I3177" s="1275" t="s">
        <v>3751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3748</v>
      </c>
      <c r="C3178" s="870" t="s">
        <v>3509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3211</v>
      </c>
      <c r="I3178" s="1251" t="s">
        <v>1537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3747</v>
      </c>
      <c r="C3179" s="859" t="s">
        <v>3510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3291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3746</v>
      </c>
      <c r="C3180" s="859" t="s">
        <v>3510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3292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3746</v>
      </c>
      <c r="C3181" s="870" t="s">
        <v>3509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3612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3745</v>
      </c>
      <c r="C3182" s="859" t="s">
        <v>3510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1644</v>
      </c>
      <c r="I3182" s="1275" t="s">
        <v>2272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3755</v>
      </c>
      <c r="C3183" s="859" t="s">
        <v>3510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1644</v>
      </c>
      <c r="I3183" s="1276" t="s">
        <v>1540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3760</v>
      </c>
      <c r="C3184" s="960" t="s">
        <v>3509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3211</v>
      </c>
      <c r="I3184" s="1251" t="s">
        <v>3212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3754</v>
      </c>
      <c r="C3185" s="859" t="s">
        <v>3510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3288</v>
      </c>
      <c r="I3185" s="1276" t="s">
        <v>3520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3754</v>
      </c>
      <c r="C3186" s="960" t="s">
        <v>3509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3211</v>
      </c>
      <c r="I3186" s="1251" t="s">
        <v>1537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3756</v>
      </c>
      <c r="C3187" s="960" t="s">
        <v>3508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3766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3756</v>
      </c>
      <c r="C3188" s="960" t="s">
        <v>3509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3211</v>
      </c>
      <c r="I3188" s="1251" t="s">
        <v>3212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3753</v>
      </c>
      <c r="C3189" s="859" t="s">
        <v>3510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3288</v>
      </c>
      <c r="I3189" s="1276" t="s">
        <v>3520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3753</v>
      </c>
      <c r="C3190" s="960" t="s">
        <v>3509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3211</v>
      </c>
      <c r="I3190" s="1251" t="s">
        <v>1537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3752</v>
      </c>
      <c r="C3191" s="859" t="s">
        <v>3510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3766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3777</v>
      </c>
      <c r="C3192" s="859" t="s">
        <v>3510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1644</v>
      </c>
      <c r="I3192" s="1264" t="s">
        <v>2272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3774</v>
      </c>
      <c r="C3193" s="975" t="s">
        <v>3509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3211</v>
      </c>
      <c r="I3193" s="1251" t="s">
        <v>3212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3773</v>
      </c>
      <c r="C3194" s="975" t="s">
        <v>3509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3211</v>
      </c>
      <c r="I3194" s="1251" t="s">
        <v>1537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3773</v>
      </c>
      <c r="C3195" s="859" t="s">
        <v>3510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3288</v>
      </c>
      <c r="I3195" s="1264" t="s">
        <v>3520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3772</v>
      </c>
      <c r="C3196" s="975" t="s">
        <v>3509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3766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3588</v>
      </c>
      <c r="C3197" s="859" t="s">
        <v>3510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3366</v>
      </c>
      <c r="I3197" s="1264" t="s">
        <v>3779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3776</v>
      </c>
      <c r="C3198" s="859" t="s">
        <v>3510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1644</v>
      </c>
      <c r="I3198" s="1264" t="s">
        <v>1734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3775</v>
      </c>
      <c r="C3199" s="859" t="s">
        <v>3510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3766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3767</v>
      </c>
      <c r="C3200" s="975" t="s">
        <v>3508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3766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3767</v>
      </c>
      <c r="C3201" s="975" t="s">
        <v>3509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3211</v>
      </c>
      <c r="I3201" s="1251" t="s">
        <v>3212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3768</v>
      </c>
      <c r="C3202" s="975" t="s">
        <v>3509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3211</v>
      </c>
      <c r="I3202" s="1251" t="s">
        <v>1537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3768</v>
      </c>
      <c r="C3203" s="859" t="s">
        <v>3510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3288</v>
      </c>
      <c r="I3203" s="1264" t="s">
        <v>3520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3792</v>
      </c>
      <c r="C3204" s="859" t="s">
        <v>3510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1644</v>
      </c>
      <c r="I3204" s="1277" t="s">
        <v>1751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3791</v>
      </c>
      <c r="C3205" s="859" t="s">
        <v>3510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1644</v>
      </c>
      <c r="I3205" s="1277" t="s">
        <v>1751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3794</v>
      </c>
      <c r="C3206" s="975" t="s">
        <v>3509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3211</v>
      </c>
      <c r="I3206" s="1251" t="s">
        <v>3212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3790</v>
      </c>
      <c r="C3207" s="859" t="s">
        <v>3510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3288</v>
      </c>
      <c r="I3207" s="1277" t="s">
        <v>3520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3790</v>
      </c>
      <c r="C3208" s="975" t="s">
        <v>3509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3211</v>
      </c>
      <c r="I3208" s="1251" t="s">
        <v>1537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3789</v>
      </c>
      <c r="C3209" s="859" t="s">
        <v>3510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3291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3788</v>
      </c>
      <c r="C3210" s="859" t="s">
        <v>3510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1644</v>
      </c>
      <c r="I3210" s="1277" t="s">
        <v>1751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3793</v>
      </c>
      <c r="C3211" s="975" t="s">
        <v>3509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3211</v>
      </c>
      <c r="I3211" s="1251" t="s">
        <v>3212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3787</v>
      </c>
      <c r="C3212" s="859" t="s">
        <v>3510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3288</v>
      </c>
      <c r="I3212" s="1277" t="s">
        <v>3520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3787</v>
      </c>
      <c r="C3213" s="975" t="s">
        <v>3509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3211</v>
      </c>
      <c r="I3213" s="1251" t="s">
        <v>1537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3786</v>
      </c>
      <c r="C3214" s="859" t="s">
        <v>3510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1644</v>
      </c>
      <c r="I3214" s="1277" t="s">
        <v>2849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3785</v>
      </c>
      <c r="C3215" s="859" t="s">
        <v>3510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1644</v>
      </c>
      <c r="I3215" s="1277" t="s">
        <v>2332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3784</v>
      </c>
      <c r="C3216" s="859" t="s">
        <v>3510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1644</v>
      </c>
      <c r="I3216" s="1277" t="s">
        <v>2849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3783</v>
      </c>
      <c r="C3217" s="859" t="s">
        <v>3510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1644</v>
      </c>
      <c r="I3217" s="1277" t="s">
        <v>1734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3782</v>
      </c>
      <c r="C3218" s="859" t="s">
        <v>3510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1644</v>
      </c>
      <c r="I3218" s="1277" t="s">
        <v>2332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3781</v>
      </c>
      <c r="C3219" s="859" t="s">
        <v>3510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1644</v>
      </c>
      <c r="I3219" s="1277" t="s">
        <v>1540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3780</v>
      </c>
      <c r="C3220" s="859" t="s">
        <v>3510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3533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3813</v>
      </c>
      <c r="C3221" s="859" t="s">
        <v>3510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1644</v>
      </c>
      <c r="I3221" s="1278" t="s">
        <v>1540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3812</v>
      </c>
      <c r="C3222" s="859" t="s">
        <v>3510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1434" t="s">
        <v>4683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3810</v>
      </c>
      <c r="C3223" s="859" t="s">
        <v>3510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1644</v>
      </c>
      <c r="I3223" s="1278" t="s">
        <v>2849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3811</v>
      </c>
      <c r="C3224" s="859" t="s">
        <v>3510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1644</v>
      </c>
      <c r="I3224" s="1278" t="s">
        <v>1540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3809</v>
      </c>
      <c r="C3225" s="859" t="s">
        <v>3510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3291</v>
      </c>
      <c r="I3225" s="1278" t="s">
        <v>3345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3815</v>
      </c>
      <c r="C3226" s="985" t="s">
        <v>3509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3211</v>
      </c>
      <c r="I3226" s="1251" t="s">
        <v>3212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3808</v>
      </c>
      <c r="C3227" s="859" t="s">
        <v>3510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3288</v>
      </c>
      <c r="I3227" s="1278" t="s">
        <v>3520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3808</v>
      </c>
      <c r="C3228" s="985" t="s">
        <v>3509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3211</v>
      </c>
      <c r="I3228" s="1251" t="s">
        <v>1537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3807</v>
      </c>
      <c r="C3229" s="859" t="s">
        <v>3510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3533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3806</v>
      </c>
      <c r="C3230" s="859" t="s">
        <v>3510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3365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2006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3805</v>
      </c>
      <c r="C3231" s="859" t="s">
        <v>3510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1644</v>
      </c>
      <c r="I3231" s="1278" t="s">
        <v>1540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3804</v>
      </c>
      <c r="C3232" s="859" t="s">
        <v>3510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3291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3803</v>
      </c>
      <c r="C3233" s="859" t="s">
        <v>3510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3817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3802</v>
      </c>
      <c r="C3234" s="859" t="s">
        <v>3510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1434" t="s">
        <v>4683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3802</v>
      </c>
      <c r="C3235" s="985" t="s">
        <v>3509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3817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3814</v>
      </c>
      <c r="C3236" s="985" t="s">
        <v>3509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3211</v>
      </c>
      <c r="I3236" s="1251" t="s">
        <v>3212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3801</v>
      </c>
      <c r="C3237" s="859" t="s">
        <v>3510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3288</v>
      </c>
      <c r="I3237" s="1254" t="s">
        <v>4303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3801</v>
      </c>
      <c r="C3238" s="985" t="s">
        <v>3509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3211</v>
      </c>
      <c r="I3238" s="1251" t="s">
        <v>1537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3800</v>
      </c>
      <c r="C3239" s="859" t="s">
        <v>3510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3799</v>
      </c>
      <c r="C3240" s="985" t="s">
        <v>3509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3612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3799</v>
      </c>
      <c r="C3241" s="859" t="s">
        <v>3510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3292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3799</v>
      </c>
      <c r="C3242" s="859" t="s">
        <v>3510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1434" t="s">
        <v>4683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3798</v>
      </c>
      <c r="C3243" s="859" t="s">
        <v>3510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3291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3798</v>
      </c>
      <c r="C3244" s="985" t="s">
        <v>3509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3291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3798</v>
      </c>
      <c r="C3245" s="859" t="s">
        <v>3510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1644</v>
      </c>
      <c r="I3245" s="1278" t="s">
        <v>3291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3797</v>
      </c>
      <c r="C3246" s="859" t="s">
        <v>3510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3288</v>
      </c>
      <c r="I3246" s="1254" t="s">
        <v>4302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3797</v>
      </c>
      <c r="C3247" s="985" t="s">
        <v>3508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3211</v>
      </c>
      <c r="I3247" s="1251" t="s">
        <v>1537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3799</v>
      </c>
      <c r="C3248" s="985" t="s">
        <v>3508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3211</v>
      </c>
      <c r="I3248" s="1251" t="s">
        <v>3212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3796</v>
      </c>
      <c r="C3249" s="859" t="s">
        <v>3510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3766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3837</v>
      </c>
      <c r="C3250" s="859" t="s">
        <v>3510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1644</v>
      </c>
      <c r="I3250" s="1278" t="s">
        <v>1540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3836</v>
      </c>
      <c r="C3251" s="859" t="s">
        <v>3510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1644</v>
      </c>
      <c r="I3251" s="1278" t="s">
        <v>2849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3835</v>
      </c>
      <c r="C3252" s="859" t="s">
        <v>3510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3533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3838</v>
      </c>
      <c r="C3253" s="985" t="s">
        <v>3509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3211</v>
      </c>
      <c r="I3253" s="1251" t="s">
        <v>3212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3834</v>
      </c>
      <c r="C3254" s="859" t="s">
        <v>3510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3288</v>
      </c>
      <c r="I3254" s="1278" t="s">
        <v>3520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3834</v>
      </c>
      <c r="C3255" s="985" t="s">
        <v>3509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3211</v>
      </c>
      <c r="I3255" s="1251" t="s">
        <v>1537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3833</v>
      </c>
      <c r="C3256" s="859" t="s">
        <v>3510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3583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3832</v>
      </c>
      <c r="C3257" s="859" t="s">
        <v>3510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3612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3832</v>
      </c>
      <c r="C3258" s="985" t="s">
        <v>3509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3211</v>
      </c>
      <c r="I3258" s="1251" t="s">
        <v>3212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3831</v>
      </c>
      <c r="C3259" s="859" t="s">
        <v>3510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4462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3831</v>
      </c>
      <c r="C3260" s="985" t="s">
        <v>3509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3211</v>
      </c>
      <c r="I3260" s="1251" t="s">
        <v>1537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3831</v>
      </c>
      <c r="C3261" s="985" t="s">
        <v>3508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3288</v>
      </c>
      <c r="I3261" s="1254" t="s">
        <v>4303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3830</v>
      </c>
      <c r="C3262" s="859" t="s">
        <v>3510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3631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3829</v>
      </c>
      <c r="C3263" s="859" t="s">
        <v>3510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1644</v>
      </c>
      <c r="I3263" s="1278" t="s">
        <v>1540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3827</v>
      </c>
      <c r="C3264" s="985" t="s">
        <v>3508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3288</v>
      </c>
      <c r="I3264" s="1278" t="s">
        <v>3751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3828</v>
      </c>
      <c r="C3265" s="859" t="s">
        <v>3510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3211</v>
      </c>
      <c r="I3265" s="1278" t="s">
        <v>3212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3827</v>
      </c>
      <c r="C3266" s="859" t="s">
        <v>3510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3211</v>
      </c>
      <c r="I3266" s="1278" t="s">
        <v>1537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3827</v>
      </c>
      <c r="C3267" s="985" t="s">
        <v>3509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3365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2006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3826</v>
      </c>
      <c r="C3268" s="985" t="s">
        <v>3508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3817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3826</v>
      </c>
      <c r="C3269" s="859" t="s">
        <v>3510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3211</v>
      </c>
      <c r="I3269" s="1278" t="s">
        <v>3212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3826</v>
      </c>
      <c r="C3270" s="985" t="s">
        <v>3509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3612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3825</v>
      </c>
      <c r="C3271" s="859" t="s">
        <v>3510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3211</v>
      </c>
      <c r="I3271" s="1278" t="s">
        <v>1537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3825</v>
      </c>
      <c r="C3272" s="985" t="s">
        <v>3509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3288</v>
      </c>
      <c r="I3272" s="1254" t="s">
        <v>4302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3824</v>
      </c>
      <c r="C3273" s="859" t="s">
        <v>3510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3291</v>
      </c>
      <c r="I3273" s="1278" t="s">
        <v>3345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3823</v>
      </c>
      <c r="C3274" s="859" t="s">
        <v>3510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3211</v>
      </c>
      <c r="I3274" s="1278" t="s">
        <v>3212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3823</v>
      </c>
      <c r="C3275" s="985" t="s">
        <v>3509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3817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3822</v>
      </c>
      <c r="C3276" s="985" t="s">
        <v>3509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3288</v>
      </c>
      <c r="I3276" s="1254" t="s">
        <v>4303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3822</v>
      </c>
      <c r="C3277" s="859" t="s">
        <v>3510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3211</v>
      </c>
      <c r="I3277" s="1278" t="s">
        <v>1537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3821</v>
      </c>
      <c r="C3278" s="985" t="s">
        <v>3508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3766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3821</v>
      </c>
      <c r="C3279" s="859" t="s">
        <v>3510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3211</v>
      </c>
      <c r="I3279" s="1278" t="s">
        <v>3212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3820</v>
      </c>
      <c r="C3280" s="985" t="s">
        <v>3509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3288</v>
      </c>
      <c r="I3280" s="1254" t="s">
        <v>4303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3820</v>
      </c>
      <c r="C3281" s="859" t="s">
        <v>3510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3211</v>
      </c>
      <c r="I3281" s="1278" t="s">
        <v>1537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3819</v>
      </c>
      <c r="C3282" s="859" t="s">
        <v>3510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3292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3818</v>
      </c>
      <c r="C3283" s="859" t="s">
        <v>3510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1644</v>
      </c>
      <c r="I3283" s="1278" t="s">
        <v>1540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3859</v>
      </c>
      <c r="C3284" s="859" t="s">
        <v>3510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3211</v>
      </c>
      <c r="I3284" s="1278" t="s">
        <v>3212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3847</v>
      </c>
      <c r="C3285" s="985" t="s">
        <v>3509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3288</v>
      </c>
      <c r="I3285" s="1280" t="s">
        <v>3520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3847</v>
      </c>
      <c r="C3286" s="859" t="s">
        <v>3510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3211</v>
      </c>
      <c r="I3286" s="1278" t="s">
        <v>1537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3858</v>
      </c>
      <c r="C3287" s="859" t="s">
        <v>3510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3211</v>
      </c>
      <c r="I3287" s="1278" t="s">
        <v>3212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3846</v>
      </c>
      <c r="C3288" s="985" t="s">
        <v>3509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3288</v>
      </c>
      <c r="I3288" s="1280" t="s">
        <v>3520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3846</v>
      </c>
      <c r="C3289" s="859" t="s">
        <v>3510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3211</v>
      </c>
      <c r="I3289" s="1278" t="s">
        <v>1537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3857</v>
      </c>
      <c r="C3290" s="859" t="s">
        <v>3510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3211</v>
      </c>
      <c r="I3290" s="1278" t="s">
        <v>3212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3856</v>
      </c>
      <c r="C3291" s="859" t="s">
        <v>3510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3211</v>
      </c>
      <c r="I3291" s="1278" t="s">
        <v>1537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3855</v>
      </c>
      <c r="C3292" s="859" t="s">
        <v>3510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1644</v>
      </c>
      <c r="I3292" s="1433" t="s">
        <v>4682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3854</v>
      </c>
      <c r="C3293" s="859" t="s">
        <v>3510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1644</v>
      </c>
      <c r="I3293" s="1280" t="s">
        <v>1540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3853</v>
      </c>
      <c r="C3294" s="859" t="s">
        <v>3510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3533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3841</v>
      </c>
      <c r="C3295" s="990" t="s">
        <v>3508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3288</v>
      </c>
      <c r="I3295" s="1278" t="s">
        <v>3751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3845</v>
      </c>
      <c r="C3296" s="985" t="s">
        <v>3509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3211</v>
      </c>
      <c r="I3296" s="1251" t="s">
        <v>3212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3841</v>
      </c>
      <c r="C3297" s="985" t="s">
        <v>3509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3211</v>
      </c>
      <c r="I3297" s="1251" t="s">
        <v>1537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3841</v>
      </c>
      <c r="C3298" s="859" t="s">
        <v>3510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3365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4462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3852</v>
      </c>
      <c r="C3299" s="859" t="s">
        <v>3510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1434" t="s">
        <v>4683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3851</v>
      </c>
      <c r="C3300" s="859" t="s">
        <v>3510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4569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3851</v>
      </c>
      <c r="C3301" s="859" t="s">
        <v>3510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1644</v>
      </c>
      <c r="I3301" s="1433" t="s">
        <v>4682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3850</v>
      </c>
      <c r="C3302" s="859" t="s">
        <v>3510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3292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3849</v>
      </c>
      <c r="C3303" s="859" t="s">
        <v>3510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1644</v>
      </c>
      <c r="I3303" s="1280" t="s">
        <v>2272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3840</v>
      </c>
      <c r="C3304" s="990" t="s">
        <v>3508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3288</v>
      </c>
      <c r="I3304" s="1254" t="s">
        <v>4302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3840</v>
      </c>
      <c r="C3305" s="985" t="s">
        <v>3509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3211</v>
      </c>
      <c r="I3305" s="1251" t="s">
        <v>1537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3840</v>
      </c>
      <c r="C3306" s="859" t="s">
        <v>3510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3365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4463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3844</v>
      </c>
      <c r="C3307" s="985" t="s">
        <v>3509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3211</v>
      </c>
      <c r="I3307" s="1251" t="s">
        <v>3212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3844</v>
      </c>
      <c r="C3308" s="859" t="s">
        <v>3510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3766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3843</v>
      </c>
      <c r="C3309" s="985" t="s">
        <v>3509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3211</v>
      </c>
      <c r="I3309" s="1251" t="s">
        <v>3212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3842</v>
      </c>
      <c r="C3310" s="985" t="s">
        <v>3509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3211</v>
      </c>
      <c r="I3310" s="1251" t="s">
        <v>1537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3842</v>
      </c>
      <c r="C3311" s="859" t="s">
        <v>3510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3288</v>
      </c>
      <c r="I3311" s="1280" t="s">
        <v>3751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3848</v>
      </c>
      <c r="C3312" s="859" t="s">
        <v>3510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1644</v>
      </c>
      <c r="I3312" s="1280" t="s">
        <v>1540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3889</v>
      </c>
      <c r="C3313" s="859" t="s">
        <v>3510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1644</v>
      </c>
      <c r="I3313" s="1280" t="s">
        <v>2272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3888</v>
      </c>
      <c r="C3314" s="859" t="s">
        <v>3510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3292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3888</v>
      </c>
      <c r="C3315" s="859" t="s">
        <v>3510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4462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3887</v>
      </c>
      <c r="C3316" s="859" t="s">
        <v>3510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3533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3886</v>
      </c>
      <c r="C3317" s="859" t="s">
        <v>3510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1644</v>
      </c>
      <c r="I3317" s="1281" t="s">
        <v>1540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3885</v>
      </c>
      <c r="C3318" s="859" t="s">
        <v>3510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3632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3884</v>
      </c>
      <c r="C3319" s="859" t="s">
        <v>3510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1644</v>
      </c>
      <c r="I3319" s="1281" t="s">
        <v>1540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3900</v>
      </c>
      <c r="C3320" s="859" t="s">
        <v>3510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3766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3899</v>
      </c>
      <c r="C3321" s="859" t="s">
        <v>3510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3291</v>
      </c>
      <c r="I3321" s="1282" t="s">
        <v>3345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3898</v>
      </c>
      <c r="C3322" s="859" t="s">
        <v>3510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1644</v>
      </c>
      <c r="I3322" s="1282" t="s">
        <v>1751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3897</v>
      </c>
      <c r="C3323" s="859" t="s">
        <v>3510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1644</v>
      </c>
      <c r="I3323" s="1282" t="s">
        <v>1540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3896</v>
      </c>
      <c r="C3324" s="859" t="s">
        <v>3510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1644</v>
      </c>
      <c r="I3324" s="1282" t="s">
        <v>1540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3895</v>
      </c>
      <c r="C3325" s="859" t="s">
        <v>3510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1644</v>
      </c>
      <c r="I3325" s="1282" t="s">
        <v>1540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3894</v>
      </c>
      <c r="C3326" s="859" t="s">
        <v>3510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1644</v>
      </c>
      <c r="I3326" s="1282" t="s">
        <v>2849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3893</v>
      </c>
      <c r="C3327" s="859" t="s">
        <v>3510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1644</v>
      </c>
      <c r="I3327" s="1282" t="s">
        <v>2272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3893</v>
      </c>
      <c r="C3328" s="859" t="s">
        <v>3510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3533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3892</v>
      </c>
      <c r="C3329" s="859" t="s">
        <v>3510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3291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3891</v>
      </c>
      <c r="C3330" s="859" t="s">
        <v>3510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3871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3901</v>
      </c>
      <c r="C3331" s="1012" t="s">
        <v>3509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3211</v>
      </c>
      <c r="I3331" s="1251" t="s">
        <v>3212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3890</v>
      </c>
      <c r="C3332" s="859" t="s">
        <v>3510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3288</v>
      </c>
      <c r="I3332" s="1282" t="s">
        <v>3520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3890</v>
      </c>
      <c r="C3333" s="1012" t="s">
        <v>3509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3211</v>
      </c>
      <c r="I3333" s="1251" t="s">
        <v>1537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3920</v>
      </c>
      <c r="C3334" s="859" t="s">
        <v>3510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3871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3919</v>
      </c>
      <c r="C3335" s="859" t="s">
        <v>3510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3817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3922</v>
      </c>
      <c r="C3336" s="1012" t="s">
        <v>3509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3211</v>
      </c>
      <c r="I3336" s="1251" t="s">
        <v>3212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3918</v>
      </c>
      <c r="C3337" s="1012" t="s">
        <v>3509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3211</v>
      </c>
      <c r="I3337" s="1251" t="s">
        <v>1537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3918</v>
      </c>
      <c r="C3338" s="859" t="s">
        <v>3510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3288</v>
      </c>
      <c r="I3338" s="1283" t="s">
        <v>3520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3917</v>
      </c>
      <c r="C3339" s="859" t="s">
        <v>3510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434" t="s">
        <v>4683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3917</v>
      </c>
      <c r="C3340" s="1012" t="s">
        <v>3509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3211</v>
      </c>
      <c r="I3340" s="1251" t="s">
        <v>3212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3916</v>
      </c>
      <c r="C3341" s="859" t="s">
        <v>3510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3288</v>
      </c>
      <c r="I3341" s="1254" t="s">
        <v>4303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3916</v>
      </c>
      <c r="C3342" s="1012" t="s">
        <v>3509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3211</v>
      </c>
      <c r="I3342" s="1251" t="s">
        <v>1537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3915</v>
      </c>
      <c r="C3343" s="859" t="s">
        <v>3510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1436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3914</v>
      </c>
      <c r="C3344" s="859" t="s">
        <v>3510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1644</v>
      </c>
      <c r="I3344" s="1283" t="s">
        <v>2849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3913</v>
      </c>
      <c r="C3345" s="859" t="s">
        <v>3510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3912</v>
      </c>
      <c r="C3346" s="859" t="s">
        <v>3510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1358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3912</v>
      </c>
      <c r="C3347" s="1012" t="s">
        <v>3509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3871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3911</v>
      </c>
      <c r="C3348" s="859" t="s">
        <v>3510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3365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1358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3910</v>
      </c>
      <c r="C3349" s="859" t="s">
        <v>3510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3871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3909</v>
      </c>
      <c r="C3350" s="859" t="s">
        <v>3510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3871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3908</v>
      </c>
      <c r="C3351" s="859" t="s">
        <v>3510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1436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3921</v>
      </c>
      <c r="C3352" s="1012" t="s">
        <v>3509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3211</v>
      </c>
      <c r="I3352" s="1251" t="s">
        <v>3212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3907</v>
      </c>
      <c r="C3353" s="1012" t="s">
        <v>3509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3211</v>
      </c>
      <c r="I3353" s="1251" t="s">
        <v>1537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3907</v>
      </c>
      <c r="C3354" s="859" t="s">
        <v>3510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3288</v>
      </c>
      <c r="I3354" s="1254" t="s">
        <v>4303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3906</v>
      </c>
      <c r="C3355" s="859" t="s">
        <v>3510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434" t="s">
        <v>4683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3905</v>
      </c>
      <c r="C3356" s="859" t="s">
        <v>3510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1644</v>
      </c>
      <c r="I3356" s="1283" t="s">
        <v>1734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3966</v>
      </c>
      <c r="C3357" s="859" t="s">
        <v>3510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3817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3965</v>
      </c>
      <c r="C3358" s="859" t="s">
        <v>3510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434" t="s">
        <v>4683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3965</v>
      </c>
      <c r="C3359" s="1012" t="s">
        <v>3509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3817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3964</v>
      </c>
      <c r="C3360" s="859" t="s">
        <v>3510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3612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3964</v>
      </c>
      <c r="C3361" s="1012" t="s">
        <v>3509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3211</v>
      </c>
      <c r="I3361" s="1251" t="s">
        <v>3212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3963</v>
      </c>
      <c r="C3362" s="859" t="s">
        <v>3510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3288</v>
      </c>
      <c r="I3362" s="1284" t="s">
        <v>3520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3963</v>
      </c>
      <c r="C3363" s="1012" t="s">
        <v>3509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3211</v>
      </c>
      <c r="I3363" s="1251" t="s">
        <v>1537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3962</v>
      </c>
      <c r="C3364" s="859" t="s">
        <v>3510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1644</v>
      </c>
      <c r="I3364" s="1433" t="s">
        <v>4682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3961</v>
      </c>
      <c r="C3365" s="859" t="s">
        <v>3510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1644</v>
      </c>
      <c r="I3365" s="1284" t="s">
        <v>1734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3967</v>
      </c>
      <c r="C3366" s="1012" t="s">
        <v>3509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3211</v>
      </c>
      <c r="I3366" s="1251" t="s">
        <v>3212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3958</v>
      </c>
      <c r="C3367" s="1033" t="s">
        <v>3508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3167</v>
      </c>
      <c r="I3367" s="1284" t="s">
        <v>3169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3960</v>
      </c>
      <c r="C3368" s="859" t="s">
        <v>3510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3288</v>
      </c>
      <c r="I3368" s="1284" t="s">
        <v>3520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3960</v>
      </c>
      <c r="C3369" s="1012" t="s">
        <v>3509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3211</v>
      </c>
      <c r="I3369" s="1251" t="s">
        <v>1537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3959</v>
      </c>
      <c r="C3370" s="859" t="s">
        <v>3510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3766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3958</v>
      </c>
      <c r="C3371" s="1012" t="s">
        <v>3509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3211</v>
      </c>
      <c r="I3371" s="1251" t="s">
        <v>3212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3958</v>
      </c>
      <c r="C3372" s="859" t="s">
        <v>3510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434" t="s">
        <v>4683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3957</v>
      </c>
      <c r="C3373" s="859" t="s">
        <v>3510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1644</v>
      </c>
      <c r="I3373" s="1284" t="s">
        <v>2849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3956</v>
      </c>
      <c r="C3374" s="859" t="s">
        <v>3510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3288</v>
      </c>
      <c r="I3374" s="1254" t="s">
        <v>4303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3956</v>
      </c>
      <c r="C3375" s="1012" t="s">
        <v>3509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3211</v>
      </c>
      <c r="I3375" s="1251" t="s">
        <v>1537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3955</v>
      </c>
      <c r="C3376" s="859" t="s">
        <v>3510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3871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3954</v>
      </c>
      <c r="C3377" s="859" t="s">
        <v>3510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3766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3953</v>
      </c>
      <c r="C3378" s="859" t="s">
        <v>3510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1644</v>
      </c>
      <c r="I3378" s="1284" t="s">
        <v>2272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3952</v>
      </c>
      <c r="C3379" s="859" t="s">
        <v>3510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3211</v>
      </c>
      <c r="I3379" s="1284" t="s">
        <v>3212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3951</v>
      </c>
      <c r="C3380" s="859" t="s">
        <v>3510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3211</v>
      </c>
      <c r="I3380" s="1278" t="s">
        <v>1537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3950</v>
      </c>
      <c r="C3381" s="859" t="s">
        <v>3510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3288</v>
      </c>
      <c r="I3381" s="1284" t="s">
        <v>3520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3949</v>
      </c>
      <c r="C3382" s="859" t="s">
        <v>3510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3871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3948</v>
      </c>
      <c r="C3383" s="859" t="s">
        <v>3510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3870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3987</v>
      </c>
      <c r="C3384" s="859" t="s">
        <v>3510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3288</v>
      </c>
      <c r="I3384" s="1285" t="s">
        <v>3520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3986</v>
      </c>
      <c r="C3385" s="859" t="s">
        <v>3510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1644</v>
      </c>
      <c r="I3385" s="1285" t="s">
        <v>2332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3985</v>
      </c>
      <c r="C3386" s="859" t="s">
        <v>3510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3292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3985</v>
      </c>
      <c r="C3387" s="859" t="s">
        <v>3510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434" t="s">
        <v>4683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3984</v>
      </c>
      <c r="C3388" s="859" t="s">
        <v>3510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3871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3983</v>
      </c>
      <c r="C3389" s="859" t="s">
        <v>3510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3288</v>
      </c>
      <c r="I3389" s="1285" t="s">
        <v>3520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3982</v>
      </c>
      <c r="C3390" s="859" t="s">
        <v>3510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3817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3981</v>
      </c>
      <c r="C3391" s="859" t="s">
        <v>3510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3870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3980</v>
      </c>
      <c r="C3392" s="859" t="s">
        <v>3510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1644</v>
      </c>
      <c r="I3392" s="1285" t="s">
        <v>2849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3979</v>
      </c>
      <c r="C3393" s="859" t="s">
        <v>3510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3871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3978</v>
      </c>
      <c r="C3394" s="859" t="s">
        <v>3510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3211</v>
      </c>
      <c r="I3394" s="1284" t="s">
        <v>3212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3977</v>
      </c>
      <c r="C3395" s="859" t="s">
        <v>3510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3211</v>
      </c>
      <c r="I3395" s="1251" t="s">
        <v>1537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3976</v>
      </c>
      <c r="C3396" s="859" t="s">
        <v>3510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3766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3975</v>
      </c>
      <c r="C3397" s="859" t="s">
        <v>3510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3766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3974</v>
      </c>
      <c r="C3398" s="859" t="s">
        <v>3510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3871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3973</v>
      </c>
      <c r="C3399" s="859" t="s">
        <v>3510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1644</v>
      </c>
      <c r="I3399" s="1285" t="s">
        <v>2849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3972</v>
      </c>
      <c r="C3400" s="859" t="s">
        <v>3510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3292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3972</v>
      </c>
      <c r="C3401" s="1012" t="s">
        <v>3509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3211</v>
      </c>
      <c r="I3401" s="1284" t="s">
        <v>3212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3988</v>
      </c>
      <c r="C3402" s="1012" t="s">
        <v>3509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3211</v>
      </c>
      <c r="I3402" s="1251" t="s">
        <v>1537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4031</v>
      </c>
      <c r="C3403" s="859" t="s">
        <v>3510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3211</v>
      </c>
      <c r="I3403" s="1284" t="s">
        <v>3212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4031</v>
      </c>
      <c r="C3404" s="1012" t="s">
        <v>3509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3817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4030</v>
      </c>
      <c r="C3405" s="859" t="s">
        <v>3510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3211</v>
      </c>
      <c r="I3405" s="1251" t="s">
        <v>1537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4029</v>
      </c>
      <c r="C3406" s="1045" t="s">
        <v>3508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3288</v>
      </c>
      <c r="I3406" s="1286" t="s">
        <v>3520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4029</v>
      </c>
      <c r="C3407" s="859" t="s">
        <v>3510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3211</v>
      </c>
      <c r="I3407" s="1251" t="s">
        <v>1537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4028</v>
      </c>
      <c r="C3408" s="859" t="s">
        <v>3510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3211</v>
      </c>
      <c r="I3408" s="1284" t="s">
        <v>3212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4027</v>
      </c>
      <c r="C3409" s="859" t="s">
        <v>3510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1644</v>
      </c>
      <c r="I3409" s="1286" t="s">
        <v>1734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4026</v>
      </c>
      <c r="C3410" s="859" t="s">
        <v>3510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3766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4025</v>
      </c>
      <c r="C3411" s="859" t="s">
        <v>3510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3766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4024</v>
      </c>
      <c r="C3412" s="859" t="s">
        <v>3510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1644</v>
      </c>
      <c r="I3412" s="1286" t="s">
        <v>2849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4023</v>
      </c>
      <c r="C3413" s="859" t="s">
        <v>3510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3817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4022</v>
      </c>
      <c r="C3414" s="859" t="s">
        <v>3510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1644</v>
      </c>
      <c r="I3414" s="1286" t="s">
        <v>1734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4021</v>
      </c>
      <c r="C3415" s="859" t="s">
        <v>3510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3211</v>
      </c>
      <c r="I3415" s="1284" t="s">
        <v>3212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4020</v>
      </c>
      <c r="C3416" s="859" t="s">
        <v>3510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3211</v>
      </c>
      <c r="I3416" s="1251" t="s">
        <v>1537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4020</v>
      </c>
      <c r="C3417" s="1012" t="s">
        <v>3509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3288</v>
      </c>
      <c r="I3417" s="1254" t="s">
        <v>4303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4019</v>
      </c>
      <c r="C3418" s="859" t="s">
        <v>3510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3292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4019</v>
      </c>
      <c r="C3419" s="1012" t="s">
        <v>3509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3766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4018</v>
      </c>
      <c r="C3420" s="859" t="s">
        <v>3510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3766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4017</v>
      </c>
      <c r="C3421" s="859" t="s">
        <v>3510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3211</v>
      </c>
      <c r="I3421" s="1284" t="s">
        <v>3212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4016</v>
      </c>
      <c r="C3422" s="859" t="s">
        <v>3510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3211</v>
      </c>
      <c r="I3422" s="1251" t="s">
        <v>1537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4016</v>
      </c>
      <c r="C3423" s="1012" t="s">
        <v>3509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3288</v>
      </c>
      <c r="I3423" s="1286" t="s">
        <v>3520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4015</v>
      </c>
      <c r="C3424" s="859" t="s">
        <v>3510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3211</v>
      </c>
      <c r="I3424" s="1284" t="s">
        <v>3212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4014</v>
      </c>
      <c r="C3425" s="859" t="s">
        <v>3510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3211</v>
      </c>
      <c r="I3425" s="1251" t="s">
        <v>1537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4014</v>
      </c>
      <c r="C3426" s="1012" t="s">
        <v>3509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3288</v>
      </c>
      <c r="I3426" s="1286" t="s">
        <v>3520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4013</v>
      </c>
      <c r="C3427" s="859" t="s">
        <v>3510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1644</v>
      </c>
      <c r="I3427" s="1286" t="s">
        <v>2849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4012</v>
      </c>
      <c r="C3428" s="859" t="s">
        <v>3510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3292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4033</v>
      </c>
      <c r="C3429" s="1012" t="s">
        <v>3509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3211</v>
      </c>
      <c r="I3429" s="1284" t="s">
        <v>3212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4011</v>
      </c>
      <c r="C3430" s="1045" t="s">
        <v>3508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3288</v>
      </c>
      <c r="I3430" s="1254" t="s">
        <v>4303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4011</v>
      </c>
      <c r="C3431" s="859" t="s">
        <v>3510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3021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4011</v>
      </c>
      <c r="C3432" s="1045" t="s">
        <v>3509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3211</v>
      </c>
      <c r="I3432" s="1251" t="s">
        <v>1537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4010</v>
      </c>
      <c r="C3433" s="859" t="s">
        <v>3510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3211</v>
      </c>
      <c r="I3433" s="1284" t="s">
        <v>3212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4009</v>
      </c>
      <c r="C3434" s="859" t="s">
        <v>3510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3211</v>
      </c>
      <c r="I3434" s="1251" t="s">
        <v>1537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4009</v>
      </c>
      <c r="C3435" s="1012" t="s">
        <v>3509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3288</v>
      </c>
      <c r="I3435" s="1286" t="s">
        <v>3520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4008</v>
      </c>
      <c r="C3436" s="859" t="s">
        <v>3510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1644</v>
      </c>
      <c r="I3436" s="1286" t="s">
        <v>2849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4007</v>
      </c>
      <c r="C3437" s="859" t="s">
        <v>3510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3871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4007</v>
      </c>
      <c r="C3438" s="1012" t="s">
        <v>3509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3766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4005</v>
      </c>
      <c r="C3439" s="1045" t="s">
        <v>3508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3288</v>
      </c>
      <c r="I3439" s="1254" t="s">
        <v>4303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4006</v>
      </c>
      <c r="C3440" s="1045" t="s">
        <v>3508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3167</v>
      </c>
      <c r="I3440" s="1284" t="s">
        <v>3169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4006</v>
      </c>
      <c r="C3441" s="859" t="s">
        <v>3510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3211</v>
      </c>
      <c r="I3441" s="1284" t="s">
        <v>3212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4006</v>
      </c>
      <c r="C3442" s="1012" t="s">
        <v>3509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3817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4005</v>
      </c>
      <c r="C3443" s="859" t="s">
        <v>3510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3211</v>
      </c>
      <c r="I3443" s="1251" t="s">
        <v>1537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4004</v>
      </c>
      <c r="C3444" s="859" t="s">
        <v>3510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3288</v>
      </c>
      <c r="I3444" s="1286" t="s">
        <v>3520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4003</v>
      </c>
      <c r="C3445" s="859" t="s">
        <v>3510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3766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4003</v>
      </c>
      <c r="C3446" s="1012" t="s">
        <v>3509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3211</v>
      </c>
      <c r="I3446" s="1284" t="s">
        <v>3212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4032</v>
      </c>
      <c r="C3447" s="1012" t="s">
        <v>3509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3211</v>
      </c>
      <c r="I3447" s="1251" t="s">
        <v>1537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4002</v>
      </c>
      <c r="C3448" s="859" t="s">
        <v>3510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3766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4001</v>
      </c>
      <c r="C3449" s="859" t="s">
        <v>3510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3766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4000</v>
      </c>
      <c r="C3450" s="859" t="s">
        <v>3510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3999</v>
      </c>
      <c r="C3451" s="859" t="s">
        <v>3510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1644</v>
      </c>
      <c r="I3451" s="1286" t="s">
        <v>2332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3998</v>
      </c>
      <c r="C3452" s="859" t="s">
        <v>3510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1644</v>
      </c>
      <c r="I3452" s="1286" t="s">
        <v>1734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3997</v>
      </c>
      <c r="C3453" s="859" t="s">
        <v>3510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3211</v>
      </c>
      <c r="I3453" s="1284" t="s">
        <v>3212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3996</v>
      </c>
      <c r="C3454" s="859" t="s">
        <v>3510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3211</v>
      </c>
      <c r="I3454" s="1251" t="s">
        <v>1537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3995</v>
      </c>
      <c r="C3455" s="859" t="s">
        <v>3510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1644</v>
      </c>
      <c r="I3455" s="1286" t="s">
        <v>1734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3994</v>
      </c>
      <c r="C3456" s="859" t="s">
        <v>3510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1644</v>
      </c>
      <c r="I3456" s="1433" t="s">
        <v>4682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3993</v>
      </c>
      <c r="C3457" s="859" t="s">
        <v>3510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3211</v>
      </c>
      <c r="I3457" s="1284" t="s">
        <v>3212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3992</v>
      </c>
      <c r="C3458" s="859" t="s">
        <v>3510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3211</v>
      </c>
      <c r="I3458" s="1251" t="s">
        <v>1537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3992</v>
      </c>
      <c r="C3459" s="1012" t="s">
        <v>3509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3288</v>
      </c>
      <c r="I3459" s="1286" t="s">
        <v>3520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3991</v>
      </c>
      <c r="C3460" s="859" t="s">
        <v>3510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1644</v>
      </c>
      <c r="I3460" s="1433" t="s">
        <v>4682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3990</v>
      </c>
      <c r="C3461" s="859" t="s">
        <v>3510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3766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3990</v>
      </c>
      <c r="C3462" s="1012" t="s">
        <v>3509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3292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4071</v>
      </c>
      <c r="C3463" s="859" t="s">
        <v>3510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1644</v>
      </c>
      <c r="I3463" s="1287" t="s">
        <v>1696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4071</v>
      </c>
      <c r="C3464" s="859" t="s">
        <v>3510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1644</v>
      </c>
      <c r="I3464" s="1287" t="s">
        <v>1734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4070</v>
      </c>
      <c r="C3465" s="859" t="s">
        <v>3510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3365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1436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4069</v>
      </c>
      <c r="C3466" s="859" t="s">
        <v>3510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3292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4069</v>
      </c>
      <c r="C3467" s="1012" t="s">
        <v>3509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3817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4068</v>
      </c>
      <c r="C3468" s="859" t="s">
        <v>3510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1644</v>
      </c>
      <c r="I3468" s="1287" t="s">
        <v>2849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4067</v>
      </c>
      <c r="C3469" s="859" t="s">
        <v>3510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1644</v>
      </c>
      <c r="I3469" s="1287" t="s">
        <v>3291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4064</v>
      </c>
      <c r="C3470" s="1053" t="s">
        <v>3508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3288</v>
      </c>
      <c r="I3470" s="1286" t="s">
        <v>3520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4065</v>
      </c>
      <c r="C3471" s="859" t="s">
        <v>3510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434" t="s">
        <v>4683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4066</v>
      </c>
      <c r="C3472" s="859" t="s">
        <v>3510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3292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4066</v>
      </c>
      <c r="C3473" s="1012" t="s">
        <v>3509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3211</v>
      </c>
      <c r="I3473" s="1284" t="s">
        <v>3212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4064</v>
      </c>
      <c r="C3474" s="859" t="s">
        <v>3510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4462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4064</v>
      </c>
      <c r="C3475" s="1012" t="s">
        <v>3509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3211</v>
      </c>
      <c r="I3475" s="1251" t="s">
        <v>1537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4063</v>
      </c>
      <c r="C3476" s="859" t="s">
        <v>3510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434" t="s">
        <v>4683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4062</v>
      </c>
      <c r="C3477" s="859" t="s">
        <v>3510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3211</v>
      </c>
      <c r="I3477" s="1284" t="s">
        <v>3212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4061</v>
      </c>
      <c r="C3478" s="859" t="s">
        <v>3510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3211</v>
      </c>
      <c r="I3478" s="1251" t="s">
        <v>1537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4061</v>
      </c>
      <c r="C3479" s="1012" t="s">
        <v>3509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3288</v>
      </c>
      <c r="I3479" s="1254" t="s">
        <v>4302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4060</v>
      </c>
      <c r="C3480" s="859" t="s">
        <v>3510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434" t="s">
        <v>4683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4059</v>
      </c>
      <c r="C3481" s="859" t="s">
        <v>3510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3292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4059</v>
      </c>
      <c r="C3482" s="1012" t="s">
        <v>3509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3817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4058</v>
      </c>
      <c r="C3483" s="859" t="s">
        <v>3510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3021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4057</v>
      </c>
      <c r="C3484" s="859" t="s">
        <v>3510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3021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4054</v>
      </c>
      <c r="C3485" s="1053" t="s">
        <v>3508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3211</v>
      </c>
      <c r="I3485" s="1251" t="s">
        <v>1537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4056</v>
      </c>
      <c r="C3486" s="1053" t="s">
        <v>3508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3211</v>
      </c>
      <c r="I3486" s="1251" t="s">
        <v>3212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4056</v>
      </c>
      <c r="C3487" s="859" t="s">
        <v>3510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3817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4055</v>
      </c>
      <c r="C3488" s="859" t="s">
        <v>3510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4054</v>
      </c>
      <c r="C3489" s="859" t="s">
        <v>3510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3288</v>
      </c>
      <c r="I3489" s="1254" t="s">
        <v>4303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4053</v>
      </c>
      <c r="C3490" s="859" t="s">
        <v>3510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1644</v>
      </c>
      <c r="I3490" s="1287" t="s">
        <v>2532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4052</v>
      </c>
      <c r="C3491" s="859" t="s">
        <v>3510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1644</v>
      </c>
      <c r="I3491" s="1287" t="s">
        <v>2332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4051</v>
      </c>
      <c r="C3492" s="859" t="s">
        <v>3510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1644</v>
      </c>
      <c r="I3492" s="1287" t="s">
        <v>2849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4050</v>
      </c>
      <c r="C3493" s="859" t="s">
        <v>3510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434" t="s">
        <v>4683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4049</v>
      </c>
      <c r="C3494" s="859" t="s">
        <v>3510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4047</v>
      </c>
      <c r="C3495" s="1053" t="s">
        <v>3508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3288</v>
      </c>
      <c r="I3495" s="1286" t="s">
        <v>3520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4049</v>
      </c>
      <c r="C3496" s="859" t="s">
        <v>3510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1644</v>
      </c>
      <c r="I3496" s="1287" t="s">
        <v>2849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4048</v>
      </c>
      <c r="C3497" s="859" t="s">
        <v>3510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3211</v>
      </c>
      <c r="I3497" s="1284" t="s">
        <v>3212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4048</v>
      </c>
      <c r="C3498" s="1012" t="s">
        <v>3509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3766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4047</v>
      </c>
      <c r="C3499" s="859" t="s">
        <v>3510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3211</v>
      </c>
      <c r="I3499" s="1251" t="s">
        <v>1537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4046</v>
      </c>
      <c r="C3500" s="859" t="s">
        <v>3510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3211</v>
      </c>
      <c r="I3500" s="1284" t="s">
        <v>3212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4045</v>
      </c>
      <c r="C3501" s="859" t="s">
        <v>3510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3211</v>
      </c>
      <c r="I3501" s="1251" t="s">
        <v>1537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4045</v>
      </c>
      <c r="C3502" s="1012" t="s">
        <v>3509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3288</v>
      </c>
      <c r="I3502" s="1286" t="s">
        <v>3520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4044</v>
      </c>
      <c r="C3503" s="859" t="s">
        <v>3510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3292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4043</v>
      </c>
      <c r="C3504" s="859" t="s">
        <v>3510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4042</v>
      </c>
      <c r="C3505" s="859" t="s">
        <v>3510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3766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4041</v>
      </c>
      <c r="C3506" s="859" t="s">
        <v>3510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3871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4039</v>
      </c>
      <c r="C3507" s="1053" t="s">
        <v>3508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3211</v>
      </c>
      <c r="I3507" s="1251" t="s">
        <v>1537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4040</v>
      </c>
      <c r="C3508" s="1053" t="s">
        <v>3508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3211</v>
      </c>
      <c r="I3508" s="1251" t="s">
        <v>3212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4040</v>
      </c>
      <c r="C3509" s="1012" t="s">
        <v>3509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3766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4040</v>
      </c>
      <c r="C3510" s="859" t="s">
        <v>3510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3292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4040</v>
      </c>
      <c r="C3511" s="859" t="s">
        <v>3510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434" t="s">
        <v>4683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4039</v>
      </c>
      <c r="C3512" s="859" t="s">
        <v>3510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3365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1358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4039</v>
      </c>
      <c r="C3513" s="1012" t="s">
        <v>3509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3288</v>
      </c>
      <c r="I3513" s="1286" t="s">
        <v>3520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4038</v>
      </c>
      <c r="C3514" s="1053" t="s">
        <v>3508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3167</v>
      </c>
      <c r="I3514" s="1287" t="s">
        <v>3168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4038</v>
      </c>
      <c r="C3515" s="859" t="s">
        <v>3510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3211</v>
      </c>
      <c r="I3515" s="1284" t="s">
        <v>3212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4038</v>
      </c>
      <c r="C3516" s="1012" t="s">
        <v>3509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434" t="s">
        <v>4683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4037</v>
      </c>
      <c r="C3517" s="859" t="s">
        <v>3510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3211</v>
      </c>
      <c r="I3517" s="1251" t="s">
        <v>1537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4037</v>
      </c>
      <c r="C3518" s="1012" t="s">
        <v>3509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3288</v>
      </c>
      <c r="I3518" s="1286" t="s">
        <v>3520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4036</v>
      </c>
      <c r="C3519" s="859" t="s">
        <v>3510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3871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4035</v>
      </c>
      <c r="C3520" s="859" t="s">
        <v>3510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3871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4034</v>
      </c>
      <c r="C3521" s="859" t="s">
        <v>3510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1644</v>
      </c>
      <c r="I3521" s="1287" t="s">
        <v>1734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4085</v>
      </c>
      <c r="C3522" s="859" t="s">
        <v>3510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3292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4084</v>
      </c>
      <c r="C3523" s="859" t="s">
        <v>3510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3288</v>
      </c>
      <c r="I3523" s="1254" t="s">
        <v>4303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4083</v>
      </c>
      <c r="C3524" s="859" t="s">
        <v>3510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3288</v>
      </c>
      <c r="I3524" s="1254" t="s">
        <v>4303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4082</v>
      </c>
      <c r="C3525" s="859" t="s">
        <v>3510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2404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4081</v>
      </c>
      <c r="C3526" s="859" t="s">
        <v>3510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3583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4080</v>
      </c>
      <c r="C3527" s="859" t="s">
        <v>3510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434" t="s">
        <v>4683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4079</v>
      </c>
      <c r="C3528" s="859" t="s">
        <v>3510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3583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4078</v>
      </c>
      <c r="C3529" s="859" t="s">
        <v>3510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1644</v>
      </c>
      <c r="I3529" s="1433" t="s">
        <v>4682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4077</v>
      </c>
      <c r="C3530" s="859" t="s">
        <v>3510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1644</v>
      </c>
      <c r="I3530" s="1288" t="s">
        <v>2272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4076</v>
      </c>
      <c r="C3531" s="859" t="s">
        <v>3510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1644</v>
      </c>
      <c r="I3531" s="1288" t="s">
        <v>2849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4075</v>
      </c>
      <c r="C3532" s="859" t="s">
        <v>3510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3871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4074</v>
      </c>
      <c r="C3533" s="859" t="s">
        <v>3510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3288</v>
      </c>
      <c r="I3533" s="1254" t="s">
        <v>4303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4088</v>
      </c>
      <c r="C3534" s="859" t="s">
        <v>3510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3870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4087</v>
      </c>
      <c r="C3535" s="859" t="s">
        <v>3510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3766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4086</v>
      </c>
      <c r="C3536" s="859" t="s">
        <v>3510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3288</v>
      </c>
      <c r="I3536" s="1289" t="s">
        <v>3521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4098</v>
      </c>
      <c r="C3537" s="859" t="s">
        <v>3510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3766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4097</v>
      </c>
      <c r="C3538" s="859" t="s">
        <v>3510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3766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4096</v>
      </c>
      <c r="C3539" s="859" t="s">
        <v>3510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3817</v>
      </c>
      <c r="I3539" s="1290" t="s">
        <v>4099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4095</v>
      </c>
      <c r="C3540" s="859" t="s">
        <v>3510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3766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4094</v>
      </c>
      <c r="C3541" s="859" t="s">
        <v>3510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1644</v>
      </c>
      <c r="I3541" s="1290" t="s">
        <v>2272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4093</v>
      </c>
      <c r="C3542" s="859" t="s">
        <v>3510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3817</v>
      </c>
      <c r="I3542" s="1290" t="s">
        <v>4099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4092</v>
      </c>
      <c r="C3543" s="859" t="s">
        <v>3510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3766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4091</v>
      </c>
      <c r="C3544" s="859" t="s">
        <v>3510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3292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4090</v>
      </c>
      <c r="C3545" s="859" t="s">
        <v>3510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4090</v>
      </c>
      <c r="C3546" s="859" t="s">
        <v>3510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1644</v>
      </c>
      <c r="I3546" s="1290" t="s">
        <v>2849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4089</v>
      </c>
      <c r="C3547" s="859" t="s">
        <v>3510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3288</v>
      </c>
      <c r="I3547" s="1254" t="s">
        <v>4303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4103</v>
      </c>
      <c r="C3548" s="859" t="s">
        <v>3510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3583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4102</v>
      </c>
      <c r="C3549" s="859" t="s">
        <v>3510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3817</v>
      </c>
      <c r="I3549" s="1291" t="s">
        <v>4104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4101</v>
      </c>
      <c r="C3550" s="859" t="s">
        <v>3510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1644</v>
      </c>
      <c r="I3550" s="1291" t="s">
        <v>2272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4162</v>
      </c>
      <c r="C3551" s="859" t="s">
        <v>3510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1644</v>
      </c>
      <c r="I3551" s="1292" t="s">
        <v>2272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4161</v>
      </c>
      <c r="C3552" s="859" t="s">
        <v>3510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3631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4160</v>
      </c>
      <c r="C3553" s="859" t="s">
        <v>3510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1644</v>
      </c>
      <c r="I3553" s="1290" t="s">
        <v>2849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4159</v>
      </c>
      <c r="C3554" s="859" t="s">
        <v>3510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3288</v>
      </c>
      <c r="I3554" s="1254" t="s">
        <v>4303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4158</v>
      </c>
      <c r="C3555" s="859" t="s">
        <v>3510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3292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4157</v>
      </c>
      <c r="C3556" s="859" t="s">
        <v>3510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2006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4157</v>
      </c>
      <c r="C3557" s="1082" t="s">
        <v>3509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3288</v>
      </c>
      <c r="I3557" s="1254" t="s">
        <v>4303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4156</v>
      </c>
      <c r="C3558" s="859" t="s">
        <v>3510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434" t="s">
        <v>4683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4155</v>
      </c>
      <c r="C3559" s="859" t="s">
        <v>3510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3583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4154</v>
      </c>
      <c r="C3560" s="859" t="s">
        <v>3510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3817</v>
      </c>
      <c r="I3560" s="1292" t="s">
        <v>4104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4183</v>
      </c>
      <c r="C3561" s="859" t="s">
        <v>3510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2404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4182</v>
      </c>
      <c r="C3562" s="859" t="s">
        <v>3510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3288</v>
      </c>
      <c r="I3562" s="1254" t="s">
        <v>4303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4181</v>
      </c>
      <c r="C3563" s="859" t="s">
        <v>3510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1644</v>
      </c>
      <c r="I3563" s="1290" t="s">
        <v>2849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4180</v>
      </c>
      <c r="C3564" s="859" t="s">
        <v>3510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1644</v>
      </c>
      <c r="I3564" s="1293" t="s">
        <v>3291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4179</v>
      </c>
      <c r="C3565" s="859" t="s">
        <v>3510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3817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4178</v>
      </c>
      <c r="C3566" s="859" t="s">
        <v>3510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3596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4177</v>
      </c>
      <c r="C3567" s="859" t="s">
        <v>3510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4464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4176</v>
      </c>
      <c r="C3568" s="859" t="s">
        <v>3510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1644</v>
      </c>
      <c r="I3568" s="1290" t="s">
        <v>2849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4175</v>
      </c>
      <c r="C3569" s="859" t="s">
        <v>3510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3288</v>
      </c>
      <c r="I3569" s="1254" t="s">
        <v>4303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4174</v>
      </c>
      <c r="C3570" s="859" t="s">
        <v>3510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4462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4173</v>
      </c>
      <c r="C3571" s="859" t="s">
        <v>3510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3292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4172</v>
      </c>
      <c r="C3572" s="859" t="s">
        <v>3510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2404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4171</v>
      </c>
      <c r="C3573" s="859" t="s">
        <v>3510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3288</v>
      </c>
      <c r="I3573" s="1254" t="s">
        <v>4303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4170</v>
      </c>
      <c r="C3574" s="859" t="s">
        <v>3510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1644</v>
      </c>
      <c r="I3574" s="1293" t="s">
        <v>3291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4169</v>
      </c>
      <c r="C3575" s="859" t="s">
        <v>3510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1644</v>
      </c>
      <c r="I3575" s="1290" t="s">
        <v>2849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4168</v>
      </c>
      <c r="C3576" s="859" t="s">
        <v>3510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1644</v>
      </c>
      <c r="I3576" s="1293" t="s">
        <v>1734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4167</v>
      </c>
      <c r="C3577" s="859" t="s">
        <v>3510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3817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4166</v>
      </c>
      <c r="C3578" s="859" t="s">
        <v>3510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1644</v>
      </c>
      <c r="I3578" s="1293" t="s">
        <v>1696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4165</v>
      </c>
      <c r="C3579" s="859" t="s">
        <v>3510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3817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4164</v>
      </c>
      <c r="C3580" s="859" t="s">
        <v>3510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3292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4208</v>
      </c>
      <c r="C3581" s="859" t="s">
        <v>3510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3292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4207</v>
      </c>
      <c r="C3582" s="859" t="s">
        <v>3510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1644</v>
      </c>
      <c r="I3582" s="1294" t="s">
        <v>2332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4206</v>
      </c>
      <c r="C3583" s="859" t="s">
        <v>3510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1644</v>
      </c>
      <c r="I3583" s="1294" t="s">
        <v>1696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4205</v>
      </c>
      <c r="C3584" s="859" t="s">
        <v>3510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1644</v>
      </c>
      <c r="I3584" s="1290" t="s">
        <v>2849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4204</v>
      </c>
      <c r="C3585" s="859" t="s">
        <v>3510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1644</v>
      </c>
      <c r="I3585" s="1294" t="s">
        <v>2272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4203</v>
      </c>
      <c r="C3586" s="859" t="s">
        <v>3510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1644</v>
      </c>
      <c r="I3586" s="1294" t="s">
        <v>1734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4202</v>
      </c>
      <c r="C3587" s="859" t="s">
        <v>3510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1644</v>
      </c>
      <c r="I3587" s="1294" t="s">
        <v>1734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4201</v>
      </c>
      <c r="C3588" s="859" t="s">
        <v>3510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3631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4200</v>
      </c>
      <c r="C3589" s="859" t="s">
        <v>3510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3583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4199</v>
      </c>
      <c r="C3590" s="859" t="s">
        <v>3510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3583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4198</v>
      </c>
      <c r="C3591" s="859" t="s">
        <v>3510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3365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3021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4197</v>
      </c>
      <c r="C3592" s="859" t="s">
        <v>3510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3365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3021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4196</v>
      </c>
      <c r="C3593" s="859" t="s">
        <v>3510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3021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4195</v>
      </c>
      <c r="C3594" s="859" t="s">
        <v>3510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3292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4194</v>
      </c>
      <c r="C3595" s="859" t="s">
        <v>3510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3288</v>
      </c>
      <c r="I3595" s="1254" t="s">
        <v>4303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4193</v>
      </c>
      <c r="C3596" s="859" t="s">
        <v>3510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4569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4192</v>
      </c>
      <c r="C3597" s="859" t="s">
        <v>3510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1644</v>
      </c>
      <c r="I3597" s="1433" t="s">
        <v>4682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4191</v>
      </c>
      <c r="C3598" s="859" t="s">
        <v>3510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3817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4190</v>
      </c>
      <c r="C3599" s="859" t="s">
        <v>3510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3817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4189</v>
      </c>
      <c r="C3600" s="859" t="s">
        <v>3510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1644</v>
      </c>
      <c r="I3600" s="1433" t="s">
        <v>4682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4188</v>
      </c>
      <c r="C3601" s="859" t="s">
        <v>3510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1644</v>
      </c>
      <c r="I3601" s="1433" t="s">
        <v>4682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4187</v>
      </c>
      <c r="C3602" s="859" t="s">
        <v>3510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3817</v>
      </c>
      <c r="I3602" s="1292" t="s">
        <v>4104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4216</v>
      </c>
      <c r="C3603" s="859" t="s">
        <v>3510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4462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4215</v>
      </c>
      <c r="C3604" s="859" t="s">
        <v>3510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3365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4462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4214</v>
      </c>
      <c r="C3605" s="859" t="s">
        <v>3510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3292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4213</v>
      </c>
      <c r="C3606" s="859" t="s">
        <v>3510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3817</v>
      </c>
      <c r="I3606" s="1292" t="s">
        <v>4104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4212</v>
      </c>
      <c r="C3607" s="859" t="s">
        <v>3510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3817</v>
      </c>
      <c r="I3607" s="1295" t="s">
        <v>4099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4219</v>
      </c>
      <c r="C3608" s="859" t="s">
        <v>3510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3817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4218</v>
      </c>
      <c r="C3609" s="859" t="s">
        <v>3510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3817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4217</v>
      </c>
      <c r="C3610" s="859" t="s">
        <v>3510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4569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4225</v>
      </c>
      <c r="C3611" s="859" t="s">
        <v>3510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3288</v>
      </c>
      <c r="I3611" s="1254" t="s">
        <v>4303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4224</v>
      </c>
      <c r="C3612" s="859" t="s">
        <v>3510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3632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4223</v>
      </c>
      <c r="C3613" s="859" t="s">
        <v>3510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3288</v>
      </c>
      <c r="I3613" s="1254" t="s">
        <v>4303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2935</v>
      </c>
      <c r="C3614" s="859" t="s">
        <v>3510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3365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1358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4222</v>
      </c>
      <c r="C3615" s="859" t="s">
        <v>3510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4248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4221</v>
      </c>
      <c r="C3616" s="859" t="s">
        <v>3510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1644</v>
      </c>
      <c r="I3616" s="1297" t="s">
        <v>3291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4229</v>
      </c>
      <c r="C3617" s="859" t="s">
        <v>3510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4248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4228</v>
      </c>
      <c r="C3618" s="859" t="s">
        <v>3510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1644</v>
      </c>
      <c r="I3618" s="1299" t="s">
        <v>1734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4227</v>
      </c>
      <c r="C3619" s="859" t="s">
        <v>3510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4248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4246</v>
      </c>
      <c r="C3620" s="859" t="s">
        <v>3510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1644</v>
      </c>
      <c r="I3620" s="1300" t="s">
        <v>2272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4245</v>
      </c>
      <c r="C3621" s="859" t="s">
        <v>3510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3365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2404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4244</v>
      </c>
      <c r="C3622" s="859" t="s">
        <v>3510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3817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4243</v>
      </c>
      <c r="C3623" s="859" t="s">
        <v>3510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3817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4242</v>
      </c>
      <c r="C3624" s="859" t="s">
        <v>3510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1644</v>
      </c>
      <c r="I3624" s="1300" t="s">
        <v>2272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4241</v>
      </c>
      <c r="C3625" s="859" t="s">
        <v>3510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4240</v>
      </c>
      <c r="C3626" s="859" t="s">
        <v>3510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2126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4239</v>
      </c>
      <c r="C3627" s="859" t="s">
        <v>3510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4248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4238</v>
      </c>
      <c r="C3628" s="859" t="s">
        <v>3510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1644</v>
      </c>
      <c r="I3628" s="1300" t="s">
        <v>3291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4237</v>
      </c>
      <c r="C3629" s="859" t="s">
        <v>3510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3292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4236</v>
      </c>
      <c r="C3630" s="859" t="s">
        <v>3510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4248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4235</v>
      </c>
      <c r="C3631" s="859" t="s">
        <v>3510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3288</v>
      </c>
      <c r="I3631" s="1254" t="s">
        <v>4302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4234</v>
      </c>
      <c r="C3632" s="859" t="s">
        <v>3510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4248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4233</v>
      </c>
      <c r="C3633" s="859" t="s">
        <v>3510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3292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4232</v>
      </c>
      <c r="C3634" s="859" t="s">
        <v>3510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3365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3290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4231</v>
      </c>
      <c r="C3635" s="859" t="s">
        <v>3510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3365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2064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4230</v>
      </c>
      <c r="C3636" s="859" t="s">
        <v>3510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4248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4273</v>
      </c>
      <c r="C3637" s="859" t="s">
        <v>3510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1644</v>
      </c>
      <c r="I3637" s="1301" t="s">
        <v>2532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4272</v>
      </c>
      <c r="C3638" s="859" t="s">
        <v>3510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3288</v>
      </c>
      <c r="I3638" s="1254" t="s">
        <v>4302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4271</v>
      </c>
      <c r="C3639" s="859" t="s">
        <v>3510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1644</v>
      </c>
      <c r="I3639" s="1301" t="s">
        <v>2532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4270</v>
      </c>
      <c r="C3640" s="859" t="s">
        <v>3510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3292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4269</v>
      </c>
      <c r="C3641" s="859" t="s">
        <v>3510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1644</v>
      </c>
      <c r="I3641" s="1301" t="s">
        <v>1734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4268</v>
      </c>
      <c r="C3642" s="859" t="s">
        <v>3510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3292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4267</v>
      </c>
      <c r="C3643" s="859" t="s">
        <v>3510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2006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4266</v>
      </c>
      <c r="C3644" s="859" t="s">
        <v>3510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3817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4265</v>
      </c>
      <c r="C3645" s="859" t="s">
        <v>3510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3288</v>
      </c>
      <c r="I3645" s="1254" t="s">
        <v>4303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4264</v>
      </c>
      <c r="C3646" s="859" t="s">
        <v>3510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1644</v>
      </c>
      <c r="I3646" s="1433" t="s">
        <v>4682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4263</v>
      </c>
      <c r="C3647" s="859" t="s">
        <v>3510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4248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4262</v>
      </c>
      <c r="C3648" s="859" t="s">
        <v>3510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3288</v>
      </c>
      <c r="I3648" s="1254" t="s">
        <v>4303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4261</v>
      </c>
      <c r="C3649" s="859" t="s">
        <v>3510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4248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4260</v>
      </c>
      <c r="C3650" s="859" t="s">
        <v>3510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3288</v>
      </c>
      <c r="I3650" s="1254" t="s">
        <v>4302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4259</v>
      </c>
      <c r="C3651" s="859" t="s">
        <v>3510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1644</v>
      </c>
      <c r="I3651" s="1301" t="s">
        <v>3291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4258</v>
      </c>
      <c r="C3652" s="859" t="s">
        <v>3510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1644</v>
      </c>
      <c r="I3652" s="1301" t="s">
        <v>1734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4257</v>
      </c>
      <c r="C3653" s="859" t="s">
        <v>3510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4256</v>
      </c>
      <c r="C3654" s="859" t="s">
        <v>3510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4248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4255</v>
      </c>
      <c r="C3655" s="859" t="s">
        <v>3510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4248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4254</v>
      </c>
      <c r="C3656" s="859" t="s">
        <v>3510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3817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4253</v>
      </c>
      <c r="C3657" s="859" t="s">
        <v>3510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1644</v>
      </c>
      <c r="I3657" s="1301" t="s">
        <v>3291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4252</v>
      </c>
      <c r="C3658" s="859" t="s">
        <v>3510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434" t="s">
        <v>4683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4251</v>
      </c>
      <c r="C3659" s="859" t="s">
        <v>3510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4248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4250</v>
      </c>
      <c r="C3660" s="859" t="s">
        <v>3510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1644</v>
      </c>
      <c r="I3660" s="1433" t="s">
        <v>4682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4249</v>
      </c>
      <c r="C3661" s="859" t="s">
        <v>3510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4248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4301</v>
      </c>
      <c r="C3662" s="859" t="s">
        <v>3510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1644</v>
      </c>
      <c r="I3662" s="1254" t="s">
        <v>3291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4300</v>
      </c>
      <c r="C3663" s="859" t="s">
        <v>3510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4248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4299</v>
      </c>
      <c r="C3664" s="859" t="s">
        <v>3510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3292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4298</v>
      </c>
      <c r="C3665" s="859" t="s">
        <v>3510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3817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4297</v>
      </c>
      <c r="C3666" s="859" t="s">
        <v>3510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4248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4296</v>
      </c>
      <c r="C3667" s="859" t="s">
        <v>3510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4295</v>
      </c>
      <c r="C3668" s="859" t="s">
        <v>3510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3288</v>
      </c>
      <c r="I3668" s="1254" t="s">
        <v>4302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4294</v>
      </c>
      <c r="C3669" s="859" t="s">
        <v>3510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434" t="s">
        <v>4683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4293</v>
      </c>
      <c r="C3670" s="859" t="s">
        <v>3510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2404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4293</v>
      </c>
      <c r="C3671" s="1124" t="s">
        <v>3509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3288</v>
      </c>
      <c r="I3671" s="1254" t="s">
        <v>4302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4292</v>
      </c>
      <c r="C3672" s="859" t="s">
        <v>3510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3292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4291</v>
      </c>
      <c r="C3673" s="859" t="s">
        <v>3510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3365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3021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4290</v>
      </c>
      <c r="C3674" s="859" t="s">
        <v>3510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3288</v>
      </c>
      <c r="I3674" s="1254" t="s">
        <v>4302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4289</v>
      </c>
      <c r="C3675" s="859" t="s">
        <v>3510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1644</v>
      </c>
      <c r="I3675" s="1254" t="s">
        <v>1734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4288</v>
      </c>
      <c r="C3676" s="859" t="s">
        <v>3510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4248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4287</v>
      </c>
      <c r="C3677" s="859" t="s">
        <v>3510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3292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4286</v>
      </c>
      <c r="C3678" s="859" t="s">
        <v>3510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3365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3632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4285</v>
      </c>
      <c r="C3679" s="859" t="s">
        <v>3510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4248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4284</v>
      </c>
      <c r="C3680" s="859" t="s">
        <v>3510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4248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4283</v>
      </c>
      <c r="C3681" s="859" t="s">
        <v>3510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1358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4282</v>
      </c>
      <c r="C3682" s="859" t="s">
        <v>3510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4248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4281</v>
      </c>
      <c r="C3683" s="859" t="s">
        <v>3510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3292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4280</v>
      </c>
      <c r="C3684" s="859" t="s">
        <v>3510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4248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4279</v>
      </c>
      <c r="C3685" s="859" t="s">
        <v>3510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3817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4278</v>
      </c>
      <c r="C3686" s="859" t="s">
        <v>3510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3288</v>
      </c>
      <c r="I3686" s="1254" t="s">
        <v>4302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4277</v>
      </c>
      <c r="C3687" s="859" t="s">
        <v>3510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1644</v>
      </c>
      <c r="I3687" s="1254" t="s">
        <v>1734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4276</v>
      </c>
      <c r="C3688" s="859" t="s">
        <v>3510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3365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1358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4275</v>
      </c>
      <c r="C3689" s="859" t="s">
        <v>3510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4248</v>
      </c>
      <c r="I3689" s="1298" t="s">
        <v>3581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4274</v>
      </c>
      <c r="C3690" s="859" t="s">
        <v>3510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1644</v>
      </c>
      <c r="I3690" s="1254" t="s">
        <v>2272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4314</v>
      </c>
      <c r="C3691" s="859" t="s">
        <v>3510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4313</v>
      </c>
      <c r="C3692" s="859" t="s">
        <v>3510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3021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4312</v>
      </c>
      <c r="C3693" s="859" t="s">
        <v>3510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1644</v>
      </c>
      <c r="I3693" s="1302" t="s">
        <v>1734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4311</v>
      </c>
      <c r="C3694" s="859" t="s">
        <v>3510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3292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4310</v>
      </c>
      <c r="C3695" s="859" t="s">
        <v>3510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1644</v>
      </c>
      <c r="I3695" s="1302" t="s">
        <v>1734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4309</v>
      </c>
      <c r="C3696" s="859" t="s">
        <v>3510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3365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4462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4309</v>
      </c>
      <c r="C3697" s="1124" t="s">
        <v>3509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4315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4308</v>
      </c>
      <c r="C3698" s="859" t="s">
        <v>3510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1644</v>
      </c>
      <c r="I3698" s="1433" t="s">
        <v>4682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4307</v>
      </c>
      <c r="C3699" s="859" t="s">
        <v>3510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4248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4306</v>
      </c>
      <c r="C3700" s="859" t="s">
        <v>3510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4248</v>
      </c>
      <c r="I3700" s="1298" t="s">
        <v>3212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4305</v>
      </c>
      <c r="C3701" s="859" t="s">
        <v>3510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1644</v>
      </c>
      <c r="I3701" s="1302" t="s">
        <v>1734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4304</v>
      </c>
      <c r="C3702" s="859" t="s">
        <v>3510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1644</v>
      </c>
      <c r="I3702" s="1302" t="s">
        <v>3291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4319</v>
      </c>
      <c r="C3703" s="859" t="s">
        <v>3510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2404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4318</v>
      </c>
      <c r="C3704" s="859" t="s">
        <v>3510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1644</v>
      </c>
      <c r="I3704" s="1433" t="s">
        <v>4682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4317</v>
      </c>
      <c r="C3705" s="859" t="s">
        <v>3510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1644</v>
      </c>
      <c r="I3705" s="1304" t="s">
        <v>1734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4323</v>
      </c>
      <c r="C3706" s="859" t="s">
        <v>3510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1644</v>
      </c>
      <c r="I3706" s="1433" t="s">
        <v>4682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4322</v>
      </c>
      <c r="C3707" s="859" t="s">
        <v>3510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1644</v>
      </c>
      <c r="I3707" s="1304" t="s">
        <v>1734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4321</v>
      </c>
      <c r="C3708" s="859" t="s">
        <v>3510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1644</v>
      </c>
      <c r="I3708" s="1433" t="s">
        <v>4682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4320</v>
      </c>
      <c r="C3709" s="859" t="s">
        <v>3510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1644</v>
      </c>
      <c r="I3709" s="1304" t="s">
        <v>1734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4335</v>
      </c>
      <c r="C3710" s="859" t="s">
        <v>3510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3292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4334</v>
      </c>
      <c r="C3711" s="859" t="s">
        <v>3510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3365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4464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4333</v>
      </c>
      <c r="C3712" s="859" t="s">
        <v>3510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1644</v>
      </c>
      <c r="I3712" s="1305" t="s">
        <v>2272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4333</v>
      </c>
      <c r="C3713" s="859" t="s">
        <v>3510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4248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4332</v>
      </c>
      <c r="C3714" s="859" t="s">
        <v>3510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434" t="s">
        <v>4683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4331</v>
      </c>
      <c r="C3715" s="859" t="s">
        <v>3510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1644</v>
      </c>
      <c r="I3715" s="1302" t="s">
        <v>1734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4330</v>
      </c>
      <c r="C3716" s="859" t="s">
        <v>3510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4329</v>
      </c>
      <c r="C3717" s="859" t="s">
        <v>3510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2006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4328</v>
      </c>
      <c r="C3718" s="859" t="s">
        <v>3510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4327</v>
      </c>
      <c r="C3719" s="859" t="s">
        <v>3510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4248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4326</v>
      </c>
      <c r="C3720" s="859" t="s">
        <v>3510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4248</v>
      </c>
      <c r="I3720" s="1298" t="s">
        <v>3581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4325</v>
      </c>
      <c r="C3721" s="859" t="s">
        <v>3510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1644</v>
      </c>
      <c r="I3721" s="1305" t="s">
        <v>3291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4357</v>
      </c>
      <c r="C3722" s="859" t="s">
        <v>3510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4464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4356</v>
      </c>
      <c r="C3723" s="859" t="s">
        <v>3510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1644</v>
      </c>
      <c r="I3723" s="1306" t="s">
        <v>3291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4355</v>
      </c>
      <c r="C3724" s="859" t="s">
        <v>3510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1644</v>
      </c>
      <c r="I3724" s="1306" t="s">
        <v>2272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4354</v>
      </c>
      <c r="C3725" s="859" t="s">
        <v>3510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1644</v>
      </c>
      <c r="I3725" s="1433" t="s">
        <v>4682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4353</v>
      </c>
      <c r="C3726" s="859" t="s">
        <v>3510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1644</v>
      </c>
      <c r="I3726" s="1306" t="s">
        <v>2272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4352</v>
      </c>
      <c r="C3727" s="859" t="s">
        <v>3510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3292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4351</v>
      </c>
      <c r="C3728" s="859" t="s">
        <v>3510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4350</v>
      </c>
      <c r="C3729" s="859" t="s">
        <v>3510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4349</v>
      </c>
      <c r="C3730" s="859" t="s">
        <v>3510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1644</v>
      </c>
      <c r="I3730" s="1306" t="s">
        <v>3291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4348</v>
      </c>
      <c r="C3731" s="859" t="s">
        <v>3510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434" t="s">
        <v>4683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4347</v>
      </c>
      <c r="C3732" s="859" t="s">
        <v>3510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4248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4346</v>
      </c>
      <c r="C3733" s="859" t="s">
        <v>3510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4248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4345</v>
      </c>
      <c r="C3734" s="859" t="s">
        <v>3510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1644</v>
      </c>
      <c r="I3734" s="1306" t="s">
        <v>2272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4344</v>
      </c>
      <c r="C3735" s="859" t="s">
        <v>3510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4248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4343</v>
      </c>
      <c r="C3736" s="859" t="s">
        <v>3510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4248</v>
      </c>
      <c r="I3736" s="1298" t="s">
        <v>3212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4342</v>
      </c>
      <c r="C3737" s="859" t="s">
        <v>3510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4248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4342</v>
      </c>
      <c r="C3738" s="859" t="s">
        <v>3510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1644</v>
      </c>
      <c r="I3738" s="1306" t="s">
        <v>2272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4341</v>
      </c>
      <c r="C3739" s="859" t="s">
        <v>3510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1644</v>
      </c>
      <c r="I3739" s="1306" t="s">
        <v>3291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4340</v>
      </c>
      <c r="C3740" s="859" t="s">
        <v>3510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1436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4339</v>
      </c>
      <c r="C3741" s="859" t="s">
        <v>3510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1644</v>
      </c>
      <c r="I3741" s="1306" t="s">
        <v>2272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4338</v>
      </c>
      <c r="C3742" s="859" t="s">
        <v>3510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1644</v>
      </c>
      <c r="I3742" s="1433" t="s">
        <v>4682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4337</v>
      </c>
      <c r="C3743" s="859" t="s">
        <v>3510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4315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4336</v>
      </c>
      <c r="C3744" s="859" t="s">
        <v>3510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3817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4389</v>
      </c>
      <c r="C3745" s="859" t="s">
        <v>3510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1436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4388</v>
      </c>
      <c r="C3746" s="859" t="s">
        <v>3510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3817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4387</v>
      </c>
      <c r="C3747" s="1164" t="s">
        <v>3508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3817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4387</v>
      </c>
      <c r="C3748" s="859" t="s">
        <v>3510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3292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4386</v>
      </c>
      <c r="C3749" s="859" t="s">
        <v>3510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4385</v>
      </c>
      <c r="C3750" s="859" t="s">
        <v>3510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4384</v>
      </c>
      <c r="C3751" s="859" t="s">
        <v>3510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3021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4383</v>
      </c>
      <c r="C3752" s="859" t="s">
        <v>3510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3365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3596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4382</v>
      </c>
      <c r="C3753" s="859" t="s">
        <v>3510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4315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4381</v>
      </c>
      <c r="C3754" s="859" t="s">
        <v>3510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434" t="s">
        <v>4683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4381</v>
      </c>
      <c r="C3755" s="859" t="s">
        <v>3510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1644</v>
      </c>
      <c r="I3755" s="1433" t="s">
        <v>4682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4380</v>
      </c>
      <c r="C3756" s="859" t="s">
        <v>3510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4379</v>
      </c>
      <c r="C3757" s="859" t="s">
        <v>3510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3021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4378</v>
      </c>
      <c r="C3758" s="859" t="s">
        <v>3510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1644</v>
      </c>
      <c r="I3758" s="1307" t="s">
        <v>2272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4377</v>
      </c>
      <c r="C3759" s="859" t="s">
        <v>3510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4248</v>
      </c>
      <c r="I3759" s="1298" t="s">
        <v>3581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4376</v>
      </c>
      <c r="C3760" s="859" t="s">
        <v>3510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3365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3631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4375</v>
      </c>
      <c r="C3761" s="859" t="s">
        <v>3510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434" t="s">
        <v>4683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4374</v>
      </c>
      <c r="C3762" s="859" t="s">
        <v>3510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3292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4373</v>
      </c>
      <c r="C3763" s="859" t="s">
        <v>3510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1644</v>
      </c>
      <c r="I3763" s="1307" t="s">
        <v>1734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4372</v>
      </c>
      <c r="C3764" s="859" t="s">
        <v>3510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1644</v>
      </c>
      <c r="I3764" s="1307" t="s">
        <v>2272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4371</v>
      </c>
      <c r="C3765" s="859" t="s">
        <v>3510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4248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4370</v>
      </c>
      <c r="C3766" s="859" t="s">
        <v>3510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434" t="s">
        <v>4683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4369</v>
      </c>
      <c r="C3767" s="859" t="s">
        <v>3510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4368</v>
      </c>
      <c r="C3768" s="859" t="s">
        <v>3510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4248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4367</v>
      </c>
      <c r="C3769" s="859" t="s">
        <v>3510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1644</v>
      </c>
      <c r="I3769" s="1307" t="s">
        <v>1734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4366</v>
      </c>
      <c r="C3770" s="859" t="s">
        <v>3510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3817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4365</v>
      </c>
      <c r="C3771" s="1164" t="s">
        <v>3508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3290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4365</v>
      </c>
      <c r="C3772" s="859" t="s">
        <v>3510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3817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4364</v>
      </c>
      <c r="C3773" s="859" t="s">
        <v>3510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4248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4363</v>
      </c>
      <c r="C3774" s="859" t="s">
        <v>3510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4248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4362</v>
      </c>
      <c r="C3775" s="859" t="s">
        <v>3510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4248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4361</v>
      </c>
      <c r="C3776" s="859" t="s">
        <v>3510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4248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4360</v>
      </c>
      <c r="C3777" s="859" t="s">
        <v>3510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1644</v>
      </c>
      <c r="I3777" s="1433" t="s">
        <v>4682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4391</v>
      </c>
      <c r="C3778" s="859" t="s">
        <v>3510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3292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4390</v>
      </c>
      <c r="C3779" s="859" t="s">
        <v>3510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1644</v>
      </c>
      <c r="I3779" s="1433" t="s">
        <v>4682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4390</v>
      </c>
      <c r="C3780" s="859" t="s">
        <v>3510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1436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4399</v>
      </c>
      <c r="C3781" s="859" t="s">
        <v>3510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1644</v>
      </c>
      <c r="I3781" s="1308" t="s">
        <v>2532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4398</v>
      </c>
      <c r="C3782" s="859" t="s">
        <v>3510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1644</v>
      </c>
      <c r="I3782" s="1307" t="s">
        <v>1734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4397</v>
      </c>
      <c r="C3783" s="859" t="s">
        <v>3510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1644</v>
      </c>
      <c r="I3783" s="1433" t="s">
        <v>4682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4396</v>
      </c>
      <c r="C3784" s="859" t="s">
        <v>3510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4315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4395</v>
      </c>
      <c r="C3785" s="859" t="s">
        <v>3510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4248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4394</v>
      </c>
      <c r="C3786" s="859" t="s">
        <v>3510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4248</v>
      </c>
      <c r="I3786" s="1298" t="s">
        <v>3581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4393</v>
      </c>
      <c r="C3787" s="859" t="s">
        <v>3510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1644</v>
      </c>
      <c r="I3787" s="1433" t="s">
        <v>4682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4402</v>
      </c>
      <c r="C3788" s="859" t="s">
        <v>3510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4248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4401</v>
      </c>
      <c r="C3789" s="859" t="s">
        <v>3510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1644</v>
      </c>
      <c r="I3789" s="1314" t="s">
        <v>3291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4400</v>
      </c>
      <c r="C3790" s="859" t="s">
        <v>3510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4248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4400</v>
      </c>
      <c r="C3791" s="859" t="s">
        <v>3510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1644</v>
      </c>
      <c r="I3791" s="1307" t="s">
        <v>2272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4410</v>
      </c>
      <c r="C3792" s="859" t="s">
        <v>3510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1644</v>
      </c>
      <c r="I3792" s="1307" t="s">
        <v>2272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4409</v>
      </c>
      <c r="C3793" s="859" t="s">
        <v>3510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1644</v>
      </c>
      <c r="I3793" s="1307" t="s">
        <v>2272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4408</v>
      </c>
      <c r="C3794" s="859" t="s">
        <v>3510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4248</v>
      </c>
      <c r="I3794" s="1321" t="s">
        <v>3212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4407</v>
      </c>
      <c r="C3795" s="859" t="s">
        <v>3510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2919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4406</v>
      </c>
      <c r="C3796" s="859" t="s">
        <v>3510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4315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4405</v>
      </c>
      <c r="C3797" s="859" t="s">
        <v>3510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4248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4414</v>
      </c>
      <c r="C3798" s="859" t="s">
        <v>3510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1436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4413</v>
      </c>
      <c r="C3799" s="859" t="s">
        <v>3510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1436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4412</v>
      </c>
      <c r="C3800" s="859" t="s">
        <v>3510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3292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4411</v>
      </c>
      <c r="C3801" s="859" t="s">
        <v>3510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1644</v>
      </c>
      <c r="I3801" s="1321" t="s">
        <v>1734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4420</v>
      </c>
      <c r="C3802" s="859" t="s">
        <v>3510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1644</v>
      </c>
      <c r="I3802" s="1321" t="s">
        <v>1734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4419</v>
      </c>
      <c r="C3803" s="859" t="s">
        <v>3510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4248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4418</v>
      </c>
      <c r="C3804" s="859" t="s">
        <v>3510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1644</v>
      </c>
      <c r="I3804" s="1307" t="s">
        <v>2272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4417</v>
      </c>
      <c r="C3805" s="859" t="s">
        <v>3510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4315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4428</v>
      </c>
      <c r="C3806" s="859" t="s">
        <v>3510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4248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4427</v>
      </c>
      <c r="C3807" s="859" t="s">
        <v>3510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1644</v>
      </c>
      <c r="I3807" s="1335" t="s">
        <v>3291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4426</v>
      </c>
      <c r="C3808" s="859" t="s">
        <v>3510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434" t="s">
        <v>4683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4426</v>
      </c>
      <c r="C3809" s="859" t="s">
        <v>3510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3292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4425</v>
      </c>
      <c r="C3810" s="859" t="s">
        <v>3510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1644</v>
      </c>
      <c r="I3810" s="1335" t="s">
        <v>1734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4424</v>
      </c>
      <c r="C3811" s="859" t="s">
        <v>3510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1644</v>
      </c>
      <c r="I3811" s="1433" t="s">
        <v>4682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4423</v>
      </c>
      <c r="C3812" s="859" t="s">
        <v>3510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434" t="s">
        <v>4683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4422</v>
      </c>
      <c r="C3813" s="859" t="s">
        <v>3510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4421</v>
      </c>
      <c r="C3814" s="859" t="s">
        <v>3510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3292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4459</v>
      </c>
      <c r="C3815" s="859" t="s">
        <v>3510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1644</v>
      </c>
      <c r="I3815" s="1433" t="s">
        <v>4682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4458</v>
      </c>
      <c r="C3816" s="859" t="s">
        <v>3510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1644</v>
      </c>
      <c r="I3816" s="1342" t="s">
        <v>1734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4457</v>
      </c>
      <c r="C3817" s="859" t="s">
        <v>3510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1644</v>
      </c>
      <c r="I3817" s="1342" t="s">
        <v>1734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4456</v>
      </c>
      <c r="C3818" s="859" t="s">
        <v>3510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4248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4455</v>
      </c>
      <c r="C3819" s="859" t="s">
        <v>3510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1644</v>
      </c>
      <c r="I3819" s="1342" t="s">
        <v>1734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4454</v>
      </c>
      <c r="C3820" s="859" t="s">
        <v>3510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1644</v>
      </c>
      <c r="I3820" s="1342" t="s">
        <v>1734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4453</v>
      </c>
      <c r="C3821" s="859" t="s">
        <v>3510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4248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4452</v>
      </c>
      <c r="C3822" s="859" t="s">
        <v>3510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1644</v>
      </c>
      <c r="I3822" s="1342" t="s">
        <v>2272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4451</v>
      </c>
      <c r="C3823" s="859" t="s">
        <v>3510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1644</v>
      </c>
      <c r="I3823" s="1433" t="s">
        <v>4682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4450</v>
      </c>
      <c r="C3824" s="859" t="s">
        <v>3510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1644</v>
      </c>
      <c r="I3824" s="1342" t="s">
        <v>2272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4449</v>
      </c>
      <c r="C3825" s="859" t="s">
        <v>3510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1644</v>
      </c>
      <c r="I3825" s="1342" t="s">
        <v>1734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4448</v>
      </c>
      <c r="C3826" s="859" t="s">
        <v>3510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4315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4447</v>
      </c>
      <c r="C3827" s="859" t="s">
        <v>3510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1644</v>
      </c>
      <c r="I3827" s="1342" t="s">
        <v>1734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4446</v>
      </c>
      <c r="C3828" s="859" t="s">
        <v>3510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3365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4445</v>
      </c>
      <c r="C3829" s="859" t="s">
        <v>3510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4444</v>
      </c>
      <c r="C3830" s="859" t="s">
        <v>3510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4248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4443</v>
      </c>
      <c r="C3831" s="859" t="s">
        <v>3510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1644</v>
      </c>
      <c r="I3831" s="1342" t="s">
        <v>3291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4442</v>
      </c>
      <c r="C3832" s="859" t="s">
        <v>3510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1358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4441</v>
      </c>
      <c r="C3833" s="859" t="s">
        <v>3510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3365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1358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4440</v>
      </c>
      <c r="C3834" s="859" t="s">
        <v>3510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434" t="s">
        <v>4683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4439</v>
      </c>
      <c r="C3835" s="859" t="s">
        <v>3510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4438</v>
      </c>
      <c r="C3836" s="859" t="s">
        <v>3510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3365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4437</v>
      </c>
      <c r="C3837" s="859" t="s">
        <v>3510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1644</v>
      </c>
      <c r="I3837" s="1342" t="s">
        <v>3291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4436</v>
      </c>
      <c r="C3838" s="859" t="s">
        <v>3510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4248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4435</v>
      </c>
      <c r="C3839" s="859" t="s">
        <v>3510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3292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4434</v>
      </c>
      <c r="C3840" s="859" t="s">
        <v>3510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4248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4433</v>
      </c>
      <c r="C3841" s="859" t="s">
        <v>3510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4432</v>
      </c>
      <c r="C3842" s="859" t="s">
        <v>3510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1644</v>
      </c>
      <c r="I3842" s="1342" t="s">
        <v>1734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4431</v>
      </c>
      <c r="C3843" s="859" t="s">
        <v>3510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3292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4430</v>
      </c>
      <c r="C3844" s="859" t="s">
        <v>3510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3365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1436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4429</v>
      </c>
      <c r="C3845" s="859" t="s">
        <v>3510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1436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4461</v>
      </c>
      <c r="C3846" s="859" t="s">
        <v>3510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3292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4460</v>
      </c>
      <c r="C3847" s="859" t="s">
        <v>3510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3292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4510</v>
      </c>
      <c r="C3848" s="859" t="s">
        <v>3510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1644</v>
      </c>
      <c r="I3848" s="1433" t="s">
        <v>4682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4509</v>
      </c>
      <c r="C3849" s="859" t="s">
        <v>3510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1644</v>
      </c>
      <c r="I3849" s="1350" t="s">
        <v>2272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4508</v>
      </c>
      <c r="C3850" s="859" t="s">
        <v>3510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4248</v>
      </c>
      <c r="I3850" s="1350" t="s">
        <v>3212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4507</v>
      </c>
      <c r="C3851" s="859" t="s">
        <v>3510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1644</v>
      </c>
      <c r="I3851" s="1350" t="s">
        <v>1734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4506</v>
      </c>
      <c r="C3852" s="859" t="s">
        <v>3510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3365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4505</v>
      </c>
      <c r="C3853" s="859" t="s">
        <v>3510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4504</v>
      </c>
      <c r="C3854" s="859" t="s">
        <v>3510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3292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4503</v>
      </c>
      <c r="C3855" s="859" t="s">
        <v>3510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4248</v>
      </c>
      <c r="I3855" s="1350" t="s">
        <v>3581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4502</v>
      </c>
      <c r="C3856" s="859" t="s">
        <v>3510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4315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4501</v>
      </c>
      <c r="C3857" s="859" t="s">
        <v>3510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4500</v>
      </c>
      <c r="C3858" s="859" t="s">
        <v>3510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4248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4499</v>
      </c>
      <c r="C3859" s="859" t="s">
        <v>3510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1644</v>
      </c>
      <c r="I3859" s="1350" t="s">
        <v>1734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4498</v>
      </c>
      <c r="C3860" s="859" t="s">
        <v>3510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3365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1594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4497</v>
      </c>
      <c r="C3861" s="859" t="s">
        <v>3510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3632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4496</v>
      </c>
      <c r="C3862" s="859" t="s">
        <v>3510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3292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4495</v>
      </c>
      <c r="C3863" s="859" t="s">
        <v>3510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1644</v>
      </c>
      <c r="I3863" s="1350" t="s">
        <v>2272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4494</v>
      </c>
      <c r="C3864" s="859" t="s">
        <v>3510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3632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4493</v>
      </c>
      <c r="C3865" s="859" t="s">
        <v>3510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434" t="s">
        <v>4683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4492</v>
      </c>
      <c r="C3866" s="859" t="s">
        <v>3510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1644</v>
      </c>
      <c r="I3866" s="1433" t="s">
        <v>4682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4491</v>
      </c>
      <c r="C3867" s="859" t="s">
        <v>3510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4248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4490</v>
      </c>
      <c r="C3868" s="859" t="s">
        <v>3510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1644</v>
      </c>
      <c r="I3868" s="1350" t="s">
        <v>1734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4489</v>
      </c>
      <c r="C3869" s="859" t="s">
        <v>3510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1358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4489</v>
      </c>
      <c r="C3870" s="859" t="s">
        <v>3510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434" t="s">
        <v>4683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4488</v>
      </c>
      <c r="C3871" s="859" t="s">
        <v>3510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1644</v>
      </c>
      <c r="I3871" s="1433" t="s">
        <v>4682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4487</v>
      </c>
      <c r="C3872" s="859" t="s">
        <v>3510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1358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4486</v>
      </c>
      <c r="C3873" s="859" t="s">
        <v>3510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4248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4485</v>
      </c>
      <c r="C3874" s="859" t="s">
        <v>3510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434" t="s">
        <v>4683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4484</v>
      </c>
      <c r="C3875" s="859" t="s">
        <v>3510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4248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4483</v>
      </c>
      <c r="C3876" s="859" t="s">
        <v>3510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4482</v>
      </c>
      <c r="C3877" s="859" t="s">
        <v>3510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3365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4481</v>
      </c>
      <c r="C3878" s="859" t="s">
        <v>3510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4480</v>
      </c>
      <c r="C3879" s="859" t="s">
        <v>3510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3365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4479</v>
      </c>
      <c r="C3880" s="859" t="s">
        <v>3510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1644</v>
      </c>
      <c r="I3880" s="1350" t="s">
        <v>2272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4478</v>
      </c>
      <c r="C3881" s="859" t="s">
        <v>3510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4248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4477</v>
      </c>
      <c r="C3882" s="859" t="s">
        <v>3510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4248</v>
      </c>
      <c r="I3882" s="1350" t="s">
        <v>3212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4476</v>
      </c>
      <c r="C3883" s="859" t="s">
        <v>3510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4248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4475</v>
      </c>
      <c r="C3884" s="859" t="s">
        <v>3510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4248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4474</v>
      </c>
      <c r="C3885" s="859" t="s">
        <v>3510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1436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4473</v>
      </c>
      <c r="C3886" s="859" t="s">
        <v>3510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1644</v>
      </c>
      <c r="I3886" s="1433" t="s">
        <v>4682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4577</v>
      </c>
      <c r="C3887" s="859" t="s">
        <v>3510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434" t="s">
        <v>4683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4576</v>
      </c>
      <c r="C3888" s="859" t="s">
        <v>3510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3292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4576</v>
      </c>
      <c r="C3889" s="859" t="s">
        <v>3510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434" t="s">
        <v>4683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4575</v>
      </c>
      <c r="C3890" s="859" t="s">
        <v>3510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4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4574</v>
      </c>
      <c r="C3891" s="859" t="s">
        <v>3510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1644</v>
      </c>
      <c r="I3891" s="1359" t="s">
        <v>1734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4573</v>
      </c>
      <c r="C3892" s="859" t="s">
        <v>3510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1644</v>
      </c>
      <c r="I3892" s="1359" t="s">
        <v>3291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4572</v>
      </c>
      <c r="C3893" s="859" t="s">
        <v>3510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1644</v>
      </c>
      <c r="I3893" s="1359" t="s">
        <v>1734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4571</v>
      </c>
      <c r="C3894" s="859" t="s">
        <v>3510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434" t="s">
        <v>4683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4570</v>
      </c>
      <c r="C3895" s="859" t="s">
        <v>3510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4315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2" t="s">
        <v>4584</v>
      </c>
      <c r="C3896" s="859" t="s">
        <v>3510</v>
      </c>
      <c r="D3896" s="1363">
        <v>46259.620520833334</v>
      </c>
      <c r="E3896" s="1364">
        <v>42.58</v>
      </c>
      <c r="F3896" s="583">
        <v>4.4999999999999998E-2</v>
      </c>
      <c r="G3896" s="1365">
        <f t="shared" ref="G3896:G3900" si="150">IF(E3896&gt;0,E3896/(1-F3896),E3896)</f>
        <v>44.586387434554972</v>
      </c>
      <c r="H3896" s="1434" t="s">
        <v>4683</v>
      </c>
      <c r="I3896" s="1366" t="s">
        <v>626</v>
      </c>
      <c r="J3896" s="1365">
        <f>(9.2*100.04+7.6*99.99+6.8*99.99)/base[[#This Row],[Stake/Responsabilidade]]</f>
        <v>7.8668888740750615</v>
      </c>
      <c r="K3896" s="1365">
        <f>100.04+99.99+99.99</f>
        <v>300.02</v>
      </c>
      <c r="L3896" s="1363">
        <f>INT(base[[#This Row],[Data de liquidação]])</f>
        <v>46259</v>
      </c>
      <c r="M3896" s="1365">
        <f>base[[#This Row],[L/P Bruto]]-base[[#This Row],[L/P Líquido]]</f>
        <v>2.0063874345549735</v>
      </c>
      <c r="N3896" s="1365">
        <f>base[[#This Row],[L/P Líquido]]/base[[#This Row],[Stake/Responsabilidade]]</f>
        <v>0.14192387174188387</v>
      </c>
      <c r="O3896" s="1367">
        <f>IF(base[[#This Row],[L/P Líquido]]&gt;0,1,0)</f>
        <v>1</v>
      </c>
      <c r="P3896" s="1367"/>
      <c r="Q3896" s="1367" t="str">
        <f>LEFT(base[[#This Row],[Evento / Mercado]],FIND("vs",base[[#This Row],[Evento / Mercado]])-2)</f>
        <v>FK Auda</v>
      </c>
      <c r="R3896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7" t="str">
        <f>LEFT(base[[#This Row],[Evento / Mercado]],FIND("/",base[[#This Row],[Evento / Mercado]])-2)</f>
        <v>FK Auda vs FK Liepaja</v>
      </c>
      <c r="T3896" s="1368">
        <f>base[[#This Row],[Data de liquidação]]</f>
        <v>46259.620520833334</v>
      </c>
    </row>
    <row r="3897" spans="2:22" ht="15" customHeight="1">
      <c r="B3897" s="1362" t="s">
        <v>4583</v>
      </c>
      <c r="C3897" s="859" t="s">
        <v>3510</v>
      </c>
      <c r="D3897" s="1363">
        <v>46259.653715277775</v>
      </c>
      <c r="E3897" s="1364">
        <v>10.31</v>
      </c>
      <c r="F3897" s="583">
        <v>4.4999999999999998E-2</v>
      </c>
      <c r="G3897" s="1365">
        <f t="shared" si="150"/>
        <v>10.795811518324609</v>
      </c>
      <c r="H3897" s="1365" t="s">
        <v>1644</v>
      </c>
      <c r="I3897" s="1366" t="s">
        <v>2272</v>
      </c>
      <c r="J3897" s="1365">
        <v>1.54</v>
      </c>
      <c r="K3897" s="1365">
        <v>20</v>
      </c>
      <c r="L3897" s="1363">
        <f>INT(base[[#This Row],[Data de liquidação]])</f>
        <v>46259</v>
      </c>
      <c r="M3897" s="1365">
        <f>base[[#This Row],[L/P Bruto]]-base[[#This Row],[L/P Líquido]]</f>
        <v>0.48581151832460812</v>
      </c>
      <c r="N3897" s="1365">
        <f>base[[#This Row],[L/P Líquido]]/base[[#This Row],[Stake/Responsabilidade]]</f>
        <v>0.51550000000000007</v>
      </c>
      <c r="O3897" s="1367">
        <f>IF(base[[#This Row],[L/P Líquido]]&gt;0,1,0)</f>
        <v>1</v>
      </c>
      <c r="P3897" s="1367"/>
      <c r="Q3897" s="1367" t="str">
        <f>LEFT(base[[#This Row],[Evento / Mercado]],FIND("vs",base[[#This Row],[Evento / Mercado]])-2)</f>
        <v>Siwelele FC</v>
      </c>
      <c r="R3897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7" t="str">
        <f>LEFT(base[[#This Row],[Evento / Mercado]],FIND("/",base[[#This Row],[Evento / Mercado]])-2)</f>
        <v>Siwelele FC vs Chippa United</v>
      </c>
      <c r="T3897" s="1368">
        <f>base[[#This Row],[Data de liquidação]]</f>
        <v>46259.653715277775</v>
      </c>
    </row>
    <row r="3898" spans="2:22" ht="15" customHeight="1">
      <c r="B3898" s="1362" t="s">
        <v>4582</v>
      </c>
      <c r="C3898" s="859" t="s">
        <v>3510</v>
      </c>
      <c r="D3898" s="1363">
        <v>46259.661400462966</v>
      </c>
      <c r="E3898" s="1364">
        <v>-123.72</v>
      </c>
      <c r="F3898" s="583">
        <v>4.4999999999999998E-2</v>
      </c>
      <c r="G3898" s="1365">
        <f t="shared" si="150"/>
        <v>-123.72</v>
      </c>
      <c r="H3898" s="1365" t="s">
        <v>179</v>
      </c>
      <c r="I3898" s="1366" t="s">
        <v>391</v>
      </c>
      <c r="J3898" s="1365">
        <v>5.85</v>
      </c>
      <c r="K3898" s="1365">
        <f>200.02+200.02</f>
        <v>400.04</v>
      </c>
      <c r="L3898" s="1363">
        <f>INT(base[[#This Row],[Data de liquidação]])</f>
        <v>46259</v>
      </c>
      <c r="M3898" s="1365">
        <f>base[[#This Row],[L/P Bruto]]-base[[#This Row],[L/P Líquido]]</f>
        <v>0</v>
      </c>
      <c r="N3898" s="1365">
        <f>base[[#This Row],[L/P Líquido]]/base[[#This Row],[Stake/Responsabilidade]]</f>
        <v>-0.30926907309269069</v>
      </c>
      <c r="O3898" s="1367">
        <f>IF(base[[#This Row],[L/P Líquido]]&gt;0,1,0)</f>
        <v>0</v>
      </c>
      <c r="P3898" s="1374" t="s">
        <v>4462</v>
      </c>
      <c r="Q3898" s="1367" t="str">
        <f>LEFT(base[[#This Row],[Evento / Mercado]],FIND("vs",base[[#This Row],[Evento / Mercado]])-2)</f>
        <v>Östers IF</v>
      </c>
      <c r="R3898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7" t="str">
        <f>LEFT(base[[#This Row],[Evento / Mercado]],FIND("/",base[[#This Row],[Evento / Mercado]])-2)</f>
        <v>Östers IF vs GIF Sundsvall</v>
      </c>
      <c r="T3898" s="1368">
        <f>base[[#This Row],[Data de liquidação]]</f>
        <v>46259.661400462966</v>
      </c>
    </row>
    <row r="3899" spans="2:22" ht="15" customHeight="1">
      <c r="B3899" s="1362" t="s">
        <v>4581</v>
      </c>
      <c r="C3899" s="859" t="s">
        <v>3510</v>
      </c>
      <c r="D3899" s="1363">
        <v>46259.708958333336</v>
      </c>
      <c r="E3899" s="1364">
        <v>33.43</v>
      </c>
      <c r="F3899" s="583">
        <v>4.4999999999999998E-2</v>
      </c>
      <c r="G3899" s="1365">
        <f t="shared" si="150"/>
        <v>35.005235602094245</v>
      </c>
      <c r="H3899" s="1365" t="s">
        <v>74</v>
      </c>
      <c r="I3899" s="1366" t="s">
        <v>692</v>
      </c>
      <c r="J3899" s="1365">
        <v>17</v>
      </c>
      <c r="K3899" s="1365">
        <v>560</v>
      </c>
      <c r="L3899" s="1363">
        <f>INT(base[[#This Row],[Data de liquidação]])</f>
        <v>46259</v>
      </c>
      <c r="M3899" s="1365">
        <f>base[[#This Row],[L/P Bruto]]-base[[#This Row],[L/P Líquido]]</f>
        <v>1.5752356020942457</v>
      </c>
      <c r="N3899" s="1365">
        <f>base[[#This Row],[L/P Líquido]]/base[[#This Row],[Stake/Responsabilidade]]</f>
        <v>5.9696428571428574E-2</v>
      </c>
      <c r="O3899" s="1367">
        <f>IF(base[[#This Row],[L/P Líquido]]&gt;0,1,0)</f>
        <v>1</v>
      </c>
      <c r="P3899" s="1374" t="s">
        <v>1209</v>
      </c>
      <c r="Q3899" s="1367" t="str">
        <f>LEFT(base[[#This Row],[Evento / Mercado]],FIND("vs",base[[#This Row],[Evento / Mercado]])-2)</f>
        <v>Al-Ettifaq</v>
      </c>
      <c r="R3899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7" t="str">
        <f>LEFT(base[[#This Row],[Evento / Mercado]],FIND("/",base[[#This Row],[Evento / Mercado]])-2)</f>
        <v>Al-Ettifaq vs Al-Nassr Riyadh</v>
      </c>
      <c r="T3899" s="1368">
        <f>base[[#This Row],[Data de liquidação]]</f>
        <v>46259.708958333336</v>
      </c>
    </row>
    <row r="3900" spans="2:22" ht="15" customHeight="1">
      <c r="B3900" s="1362" t="s">
        <v>4580</v>
      </c>
      <c r="C3900" s="859" t="s">
        <v>3510</v>
      </c>
      <c r="D3900" s="1363">
        <v>46259.740624999999</v>
      </c>
      <c r="E3900" s="1364">
        <v>9.74</v>
      </c>
      <c r="F3900" s="583">
        <v>4.4999999999999998E-2</v>
      </c>
      <c r="G3900" s="1365">
        <f t="shared" si="150"/>
        <v>10.198952879581153</v>
      </c>
      <c r="H3900" s="1365" t="s">
        <v>1644</v>
      </c>
      <c r="I3900" s="1366" t="s">
        <v>2272</v>
      </c>
      <c r="J3900" s="1365">
        <v>1.51</v>
      </c>
      <c r="K3900" s="1365">
        <v>20</v>
      </c>
      <c r="L3900" s="1363">
        <f>INT(base[[#This Row],[Data de liquidação]])</f>
        <v>46259</v>
      </c>
      <c r="M3900" s="1365">
        <f>base[[#This Row],[L/P Bruto]]-base[[#This Row],[L/P Líquido]]</f>
        <v>0.45895287958115283</v>
      </c>
      <c r="N3900" s="1365">
        <f>base[[#This Row],[L/P Líquido]]/base[[#This Row],[Stake/Responsabilidade]]</f>
        <v>0.48699999999999999</v>
      </c>
      <c r="O3900" s="1367">
        <f>IF(base[[#This Row],[L/P Líquido]]&gt;0,1,0)</f>
        <v>1</v>
      </c>
      <c r="P3900" s="1367"/>
      <c r="Q3900" s="1367" t="str">
        <f>LEFT(base[[#This Row],[Evento / Mercado]],FIND("vs",base[[#This Row],[Evento / Mercado]])-2)</f>
        <v>Valencia</v>
      </c>
      <c r="R3900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7" t="str">
        <f>LEFT(base[[#This Row],[Evento / Mercado]],FIND("/",base[[#This Row],[Evento / Mercado]])-2)</f>
        <v>Valencia vs Real Betis</v>
      </c>
      <c r="T3900" s="1368">
        <f>base[[#This Row],[Data de liquidação]]</f>
        <v>46259.740624999999</v>
      </c>
    </row>
    <row r="3901" spans="2:22" ht="15" customHeight="1">
      <c r="B3901" s="1369" t="s">
        <v>4591</v>
      </c>
      <c r="C3901" s="859" t="s">
        <v>3510</v>
      </c>
      <c r="D3901" s="1370">
        <v>46260.54184027778</v>
      </c>
      <c r="E3901" s="1371">
        <v>-20</v>
      </c>
      <c r="F3901" s="583">
        <v>4.4999999999999998E-2</v>
      </c>
      <c r="G3901" s="1372">
        <f t="shared" ref="G3901:G3908" si="151">IF(E3901&gt;0,E3901/(1-F3901),E3901)</f>
        <v>-20</v>
      </c>
      <c r="H3901" s="1365" t="s">
        <v>1644</v>
      </c>
      <c r="I3901" s="1366" t="s">
        <v>2272</v>
      </c>
      <c r="J3901" s="1372">
        <v>1.54</v>
      </c>
      <c r="K3901" s="1372">
        <v>20</v>
      </c>
      <c r="L3901" s="1370">
        <f>INT(base[[#This Row],[Data de liquidação]])</f>
        <v>46260</v>
      </c>
      <c r="M3901" s="1372">
        <f>base[[#This Row],[L/P Bruto]]-base[[#This Row],[L/P Líquido]]</f>
        <v>0</v>
      </c>
      <c r="N3901" s="1372">
        <f>base[[#This Row],[L/P Líquido]]/base[[#This Row],[Stake/Responsabilidade]]</f>
        <v>-1</v>
      </c>
      <c r="O3901" s="1374">
        <f>IF(base[[#This Row],[L/P Líquido]]&gt;0,1,0)</f>
        <v>0</v>
      </c>
      <c r="P3901" s="1374"/>
      <c r="Q3901" s="1374" t="str">
        <f>LEFT(base[[#This Row],[Evento / Mercado]],FIND("vs",base[[#This Row],[Evento / Mercado]])-2)</f>
        <v>Smouha SC</v>
      </c>
      <c r="R3901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4" t="str">
        <f>LEFT(base[[#This Row],[Evento / Mercado]],FIND("/",base[[#This Row],[Evento / Mercado]])-2)</f>
        <v>Smouha SC vs Asyut Petroleum</v>
      </c>
      <c r="T3901" s="1375">
        <f>base[[#This Row],[Data de liquidação]]</f>
        <v>46260.54184027778</v>
      </c>
    </row>
    <row r="3902" spans="2:22" ht="15" customHeight="1">
      <c r="B3902" s="1369" t="s">
        <v>4590</v>
      </c>
      <c r="C3902" s="859" t="s">
        <v>3510</v>
      </c>
      <c r="D3902" s="1370">
        <v>46260.621388888889</v>
      </c>
      <c r="E3902" s="1371">
        <v>20.100000000000001</v>
      </c>
      <c r="F3902" s="583">
        <v>4.4999999999999998E-2</v>
      </c>
      <c r="G3902" s="1372">
        <f t="shared" si="151"/>
        <v>21.04712041884817</v>
      </c>
      <c r="H3902" s="1372" t="s">
        <v>74</v>
      </c>
      <c r="I3902" s="1373" t="s">
        <v>626</v>
      </c>
      <c r="J3902" s="1372">
        <v>20</v>
      </c>
      <c r="K3902" s="1372">
        <v>399.95</v>
      </c>
      <c r="L3902" s="1370">
        <f>INT(base[[#This Row],[Data de liquidação]])</f>
        <v>46260</v>
      </c>
      <c r="M3902" s="1372">
        <f>base[[#This Row],[L/P Bruto]]-base[[#This Row],[L/P Líquido]]</f>
        <v>0.94712041884816855</v>
      </c>
      <c r="N3902" s="1372">
        <f>base[[#This Row],[L/P Líquido]]/base[[#This Row],[Stake/Responsabilidade]]</f>
        <v>5.025628203525441E-2</v>
      </c>
      <c r="O3902" s="1374">
        <f>IF(base[[#This Row],[L/P Líquido]]&gt;0,1,0)</f>
        <v>1</v>
      </c>
      <c r="P3902" s="1374" t="s">
        <v>3021</v>
      </c>
      <c r="Q3902" s="1374" t="str">
        <f>LEFT(base[[#This Row],[Evento / Mercado]],FIND("vs",base[[#This Row],[Evento / Mercado]])-2)</f>
        <v>Strømmen</v>
      </c>
      <c r="R3902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4" t="str">
        <f>LEFT(base[[#This Row],[Evento / Mercado]],FIND("/",base[[#This Row],[Evento / Mercado]])-2)</f>
        <v>Strømmen vs Raufoss</v>
      </c>
      <c r="T3902" s="1375">
        <f>base[[#This Row],[Data de liquidação]]</f>
        <v>46260.621388888889</v>
      </c>
    </row>
    <row r="3903" spans="2:22" ht="15" customHeight="1">
      <c r="B3903" s="1369" t="s">
        <v>4589</v>
      </c>
      <c r="C3903" s="859" t="s">
        <v>3510</v>
      </c>
      <c r="D3903" s="1370">
        <v>46260.636574074073</v>
      </c>
      <c r="E3903" s="1371">
        <v>9.9499999999999993</v>
      </c>
      <c r="F3903" s="583">
        <v>4.4999999999999998E-2</v>
      </c>
      <c r="G3903" s="1372">
        <f t="shared" si="151"/>
        <v>10.418848167539267</v>
      </c>
      <c r="H3903" s="1365" t="s">
        <v>1644</v>
      </c>
      <c r="I3903" s="1366" t="s">
        <v>2272</v>
      </c>
      <c r="J3903" s="1372">
        <v>1.52</v>
      </c>
      <c r="K3903" s="1372">
        <v>20</v>
      </c>
      <c r="L3903" s="1370">
        <f>INT(base[[#This Row],[Data de liquidação]])</f>
        <v>46260</v>
      </c>
      <c r="M3903" s="1372">
        <f>base[[#This Row],[L/P Bruto]]-base[[#This Row],[L/P Líquido]]</f>
        <v>0.46884816753926728</v>
      </c>
      <c r="N3903" s="1372">
        <f>base[[#This Row],[L/P Líquido]]/base[[#This Row],[Stake/Responsabilidade]]</f>
        <v>0.49749999999999994</v>
      </c>
      <c r="O3903" s="1374">
        <f>IF(base[[#This Row],[L/P Líquido]]&gt;0,1,0)</f>
        <v>1</v>
      </c>
      <c r="P3903" s="1374"/>
      <c r="Q3903" s="1374" t="str">
        <f>LEFT(base[[#This Row],[Evento / Mercado]],FIND("vs",base[[#This Row],[Evento / Mercado]])-2)</f>
        <v>National Bank</v>
      </c>
      <c r="R3903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4" t="str">
        <f>LEFT(base[[#This Row],[Evento / Mercado]],FIND("/",base[[#This Row],[Evento / Mercado]])-2)</f>
        <v>National Bank vs Zamalek</v>
      </c>
      <c r="T3903" s="1375">
        <f>base[[#This Row],[Data de liquidação]]</f>
        <v>46260.636574074073</v>
      </c>
    </row>
    <row r="3904" spans="2:22" ht="15" customHeight="1">
      <c r="B3904" s="1369" t="s">
        <v>4588</v>
      </c>
      <c r="C3904" s="859" t="s">
        <v>3510</v>
      </c>
      <c r="D3904" s="1370">
        <v>46260.646770833337</v>
      </c>
      <c r="E3904" s="1371">
        <v>90.44</v>
      </c>
      <c r="F3904" s="583">
        <v>4.4999999999999998E-2</v>
      </c>
      <c r="G3904" s="1372">
        <f t="shared" si="151"/>
        <v>94.701570680628279</v>
      </c>
      <c r="H3904" s="1372" t="s">
        <v>314</v>
      </c>
      <c r="I3904" s="1373" t="s">
        <v>349</v>
      </c>
      <c r="J3904" s="1372">
        <v>1.79</v>
      </c>
      <c r="K3904" s="1372">
        <v>119.87</v>
      </c>
      <c r="L3904" s="1370">
        <f>INT(base[[#This Row],[Data de liquidação]])</f>
        <v>46260</v>
      </c>
      <c r="M3904" s="1372">
        <f>base[[#This Row],[L/P Bruto]]-base[[#This Row],[L/P Líquido]]</f>
        <v>4.2615706806282816</v>
      </c>
      <c r="N3904" s="1372">
        <f>base[[#This Row],[L/P Líquido]]/base[[#This Row],[Stake/Responsabilidade]]</f>
        <v>0.75448402435972295</v>
      </c>
      <c r="O3904" s="1374">
        <f>IF(base[[#This Row],[L/P Líquido]]&gt;0,1,0)</f>
        <v>1</v>
      </c>
      <c r="P3904" s="1374"/>
      <c r="Q3904" s="1374" t="str">
        <f>LEFT(base[[#This Row],[Evento / Mercado]],FIND("vs",base[[#This Row],[Evento / Mercado]])-2)</f>
        <v>Strømsgodset</v>
      </c>
      <c r="R3904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4" t="str">
        <f>LEFT(base[[#This Row],[Evento / Mercado]],FIND("/",base[[#This Row],[Evento / Mercado]])-2)</f>
        <v>Strømsgodset vs Hødd</v>
      </c>
      <c r="T3904" s="1375">
        <f>base[[#This Row],[Data de liquidação]]</f>
        <v>46260.646770833337</v>
      </c>
    </row>
    <row r="3905" spans="2:20" ht="15" customHeight="1">
      <c r="B3905" s="1369" t="s">
        <v>4587</v>
      </c>
      <c r="C3905" s="859" t="s">
        <v>3510</v>
      </c>
      <c r="D3905" s="1370">
        <v>46260.661539351851</v>
      </c>
      <c r="E3905" s="1371">
        <v>10.92</v>
      </c>
      <c r="F3905" s="583">
        <v>4.4999999999999998E-2</v>
      </c>
      <c r="G3905" s="1372">
        <f t="shared" si="151"/>
        <v>11.43455497382199</v>
      </c>
      <c r="H3905" s="1372" t="s">
        <v>3292</v>
      </c>
      <c r="I3905" s="1373" t="s">
        <v>626</v>
      </c>
      <c r="J3905" s="1372">
        <v>36</v>
      </c>
      <c r="K3905" s="1372">
        <v>400.05</v>
      </c>
      <c r="L3905" s="1370">
        <f>INT(base[[#This Row],[Data de liquidação]])</f>
        <v>46260</v>
      </c>
      <c r="M3905" s="1372">
        <f>base[[#This Row],[L/P Bruto]]-base[[#This Row],[L/P Líquido]]</f>
        <v>0.51455497382199056</v>
      </c>
      <c r="N3905" s="1372">
        <f>base[[#This Row],[L/P Líquido]]/base[[#This Row],[Stake/Responsabilidade]]</f>
        <v>2.7296587926509186E-2</v>
      </c>
      <c r="O3905" s="1374">
        <f>IF(base[[#This Row],[L/P Líquido]]&gt;0,1,0)</f>
        <v>1</v>
      </c>
      <c r="P3905" s="1374"/>
      <c r="Q3905" s="1374" t="str">
        <f>LEFT(base[[#This Row],[Evento / Mercado]],FIND("vs",base[[#This Row],[Evento / Mercado]])-2)</f>
        <v>Haugesund</v>
      </c>
      <c r="R3905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4" t="str">
        <f>LEFT(base[[#This Row],[Evento / Mercado]],FIND("/",base[[#This Row],[Evento / Mercado]])-2)</f>
        <v>Haugesund vs Egersund</v>
      </c>
      <c r="T3905" s="1375">
        <f>base[[#This Row],[Data de liquidação]]</f>
        <v>46260.661539351851</v>
      </c>
    </row>
    <row r="3906" spans="2:20" ht="15" customHeight="1">
      <c r="B3906" s="1369" t="s">
        <v>4586</v>
      </c>
      <c r="C3906" s="859" t="s">
        <v>3510</v>
      </c>
      <c r="D3906" s="1370">
        <v>46260.748518518521</v>
      </c>
      <c r="E3906" s="1371">
        <v>38.200000000000003</v>
      </c>
      <c r="F3906" s="583">
        <v>4.4999999999999998E-2</v>
      </c>
      <c r="G3906" s="1372">
        <f t="shared" si="151"/>
        <v>40.000000000000007</v>
      </c>
      <c r="H3906" s="1372" t="s">
        <v>3365</v>
      </c>
      <c r="I3906" s="1373" t="s">
        <v>391</v>
      </c>
      <c r="J3906" s="1372">
        <v>11</v>
      </c>
      <c r="K3906" s="1372">
        <v>400</v>
      </c>
      <c r="L3906" s="1370">
        <f>INT(base[[#This Row],[Data de liquidação]])</f>
        <v>46260</v>
      </c>
      <c r="M3906" s="1372">
        <f>base[[#This Row],[L/P Bruto]]-base[[#This Row],[L/P Líquido]]</f>
        <v>1.8000000000000043</v>
      </c>
      <c r="N3906" s="1372">
        <f>base[[#This Row],[L/P Líquido]]/base[[#This Row],[Stake/Responsabilidade]]</f>
        <v>9.5500000000000002E-2</v>
      </c>
      <c r="O3906" s="1374">
        <f>IF(base[[#This Row],[L/P Líquido]]&gt;0,1,0)</f>
        <v>1</v>
      </c>
      <c r="P3906" s="1374" t="s">
        <v>1201</v>
      </c>
      <c r="Q3906" s="1374" t="str">
        <f>LEFT(base[[#This Row],[Evento / Mercado]],FIND("vs",base[[#This Row],[Evento / Mercado]])-2)</f>
        <v>Real Madrid</v>
      </c>
      <c r="R3906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4" t="str">
        <f>LEFT(base[[#This Row],[Evento / Mercado]],FIND("/",base[[#This Row],[Evento / Mercado]])-2)</f>
        <v>Real Madrid vs Real Sociedad</v>
      </c>
      <c r="T3906" s="1375">
        <f>base[[#This Row],[Data de liquidação]]</f>
        <v>46260.748518518521</v>
      </c>
    </row>
    <row r="3907" spans="2:20" ht="15" customHeight="1">
      <c r="B3907" s="1369" t="s">
        <v>4585</v>
      </c>
      <c r="C3907" s="859" t="s">
        <v>3510</v>
      </c>
      <c r="D3907" s="1370">
        <v>46260.872407407405</v>
      </c>
      <c r="E3907" s="1371">
        <v>-124.41</v>
      </c>
      <c r="F3907" s="583">
        <v>4.4999999999999998E-2</v>
      </c>
      <c r="G3907" s="1372">
        <f t="shared" si="151"/>
        <v>-124.41</v>
      </c>
      <c r="H3907" s="1372" t="s">
        <v>1644</v>
      </c>
      <c r="I3907" s="1373" t="s">
        <v>1734</v>
      </c>
      <c r="J3907" s="1372">
        <v>30</v>
      </c>
      <c r="K3907" s="1372">
        <v>124.41</v>
      </c>
      <c r="L3907" s="1370">
        <f>INT(base[[#This Row],[Data de liquidação]])</f>
        <v>46260</v>
      </c>
      <c r="M3907" s="1372">
        <f>base[[#This Row],[L/P Bruto]]-base[[#This Row],[L/P Líquido]]</f>
        <v>0</v>
      </c>
      <c r="N3907" s="1372">
        <f>base[[#This Row],[L/P Líquido]]/base[[#This Row],[Stake/Responsabilidade]]</f>
        <v>-1</v>
      </c>
      <c r="O3907" s="1374">
        <f>IF(base[[#This Row],[L/P Líquido]]&gt;0,1,0)</f>
        <v>0</v>
      </c>
      <c r="P3907" s="1374"/>
      <c r="Q3907" s="1374" t="str">
        <f>LEFT(base[[#This Row],[Evento / Mercado]],FIND("vs",base[[#This Row],[Evento / Mercado]])-2)</f>
        <v>Coquimbo Unido</v>
      </c>
      <c r="R3907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4" t="str">
        <f>LEFT(base[[#This Row],[Evento / Mercado]],FIND("/",base[[#This Row],[Evento / Mercado]])-2)</f>
        <v>Coquimbo Unido vs Universidad Católica</v>
      </c>
      <c r="T3907" s="1375">
        <f>base[[#This Row],[Data de liquidação]]</f>
        <v>46260.872407407405</v>
      </c>
    </row>
    <row r="3908" spans="2:20" ht="15" customHeight="1">
      <c r="B3908" s="1369" t="s">
        <v>4592</v>
      </c>
      <c r="C3908" s="859" t="s">
        <v>3510</v>
      </c>
      <c r="D3908" s="1370">
        <v>46261.016574074078</v>
      </c>
      <c r="E3908" s="1371">
        <v>19.579999999999998</v>
      </c>
      <c r="F3908" s="583">
        <v>4.4999999999999998E-2</v>
      </c>
      <c r="G3908" s="1372">
        <f t="shared" si="151"/>
        <v>20.502617801047119</v>
      </c>
      <c r="H3908" s="1372" t="s">
        <v>3292</v>
      </c>
      <c r="I3908" s="1373" t="s">
        <v>626</v>
      </c>
      <c r="J3908" s="1372">
        <v>21</v>
      </c>
      <c r="K3908" s="1372">
        <v>410</v>
      </c>
      <c r="L3908" s="1370">
        <f>INT(base[[#This Row],[Data de liquidação]])</f>
        <v>46261</v>
      </c>
      <c r="M3908" s="1372">
        <f>base[[#This Row],[L/P Bruto]]-base[[#This Row],[L/P Líquido]]</f>
        <v>0.92261780104712088</v>
      </c>
      <c r="N3908" s="1372">
        <f>base[[#This Row],[L/P Líquido]]/base[[#This Row],[Stake/Responsabilidade]]</f>
        <v>4.7756097560975604E-2</v>
      </c>
      <c r="O3908" s="1374">
        <f>IF(base[[#This Row],[L/P Líquido]]&gt;0,1,0)</f>
        <v>1</v>
      </c>
      <c r="P3908" s="1374"/>
      <c r="Q3908" s="1374" t="str">
        <f>LEFT(base[[#This Row],[Evento / Mercado]],FIND("vs",base[[#This Row],[Evento / Mercado]])-2)</f>
        <v>Atlético Nacional</v>
      </c>
      <c r="R3908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4" t="str">
        <f>LEFT(base[[#This Row],[Evento / Mercado]],FIND("/",base[[#This Row],[Evento / Mercado]])-2)</f>
        <v>Atlético Nacional vs Deportivo Cali</v>
      </c>
      <c r="T3908" s="1375">
        <f>base[[#This Row],[Data de liquidação]]</f>
        <v>46261.016574074078</v>
      </c>
    </row>
    <row r="3909" spans="2:20" ht="15" customHeight="1">
      <c r="B3909" s="1376" t="s">
        <v>4595</v>
      </c>
      <c r="C3909" s="859" t="s">
        <v>3510</v>
      </c>
      <c r="D3909" s="1377">
        <v>46261.746099537035</v>
      </c>
      <c r="E3909" s="1378">
        <v>8.74</v>
      </c>
      <c r="F3909" s="583">
        <v>4.4999999999999998E-2</v>
      </c>
      <c r="G3909" s="1379">
        <f t="shared" ref="G3909:G3910" si="152">IF(E3909&gt;0,E3909/(1-F3909),E3909)</f>
        <v>9.1518324607329848</v>
      </c>
      <c r="H3909" s="1372" t="s">
        <v>3292</v>
      </c>
      <c r="I3909" s="1373" t="s">
        <v>626</v>
      </c>
      <c r="J3909" s="1379">
        <v>48</v>
      </c>
      <c r="K3909" s="1379">
        <v>430.05</v>
      </c>
      <c r="L3909" s="1377">
        <f>INT(base[[#This Row],[Data de liquidação]])</f>
        <v>46261</v>
      </c>
      <c r="M3909" s="1379">
        <f>base[[#This Row],[L/P Bruto]]-base[[#This Row],[L/P Líquido]]</f>
        <v>0.41183246073298463</v>
      </c>
      <c r="N3909" s="1379">
        <f>base[[#This Row],[L/P Líquido]]/base[[#This Row],[Stake/Responsabilidade]]</f>
        <v>2.0323218230438322E-2</v>
      </c>
      <c r="O3909" s="1380">
        <f>IF(base[[#This Row],[L/P Líquido]]&gt;0,1,0)</f>
        <v>1</v>
      </c>
      <c r="P3909" s="1380"/>
      <c r="Q3909" s="1380" t="str">
        <f>LEFT(base[[#This Row],[Evento / Mercado]],FIND("vs",base[[#This Row],[Evento / Mercado]])-2)</f>
        <v>Always Ready</v>
      </c>
      <c r="R3909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0" t="str">
        <f>LEFT(base[[#This Row],[Evento / Mercado]],FIND("/",base[[#This Row],[Evento / Mercado]])-2)</f>
        <v>Always Ready vs Club Aurora</v>
      </c>
      <c r="T3909" s="1381">
        <f>base[[#This Row],[Data de liquidação]]</f>
        <v>46261.746099537035</v>
      </c>
    </row>
    <row r="3910" spans="2:20" ht="15" customHeight="1">
      <c r="B3910" s="1376" t="s">
        <v>4594</v>
      </c>
      <c r="C3910" s="859" t="s">
        <v>3510</v>
      </c>
      <c r="D3910" s="1377">
        <v>46261.751747685186</v>
      </c>
      <c r="E3910" s="1378">
        <v>35.020000000000003</v>
      </c>
      <c r="F3910" s="583">
        <v>4.4999999999999998E-2</v>
      </c>
      <c r="G3910" s="1379">
        <f t="shared" si="152"/>
        <v>36.670157068062835</v>
      </c>
      <c r="H3910" s="1372" t="s">
        <v>3365</v>
      </c>
      <c r="I3910" s="1373" t="s">
        <v>391</v>
      </c>
      <c r="J3910" s="1379">
        <v>13</v>
      </c>
      <c r="K3910" s="1379">
        <v>440.04</v>
      </c>
      <c r="L3910" s="1377">
        <f>INT(base[[#This Row],[Data de liquidação]])</f>
        <v>46261</v>
      </c>
      <c r="M3910" s="1379">
        <f>base[[#This Row],[L/P Bruto]]-base[[#This Row],[L/P Líquido]]</f>
        <v>1.6501570680628319</v>
      </c>
      <c r="N3910" s="1379">
        <f>base[[#This Row],[L/P Líquido]]/base[[#This Row],[Stake/Responsabilidade]]</f>
        <v>7.9583674211435321E-2</v>
      </c>
      <c r="O3910" s="1380">
        <f>IF(base[[#This Row],[L/P Líquido]]&gt;0,1,0)</f>
        <v>1</v>
      </c>
      <c r="P3910" s="1382" t="s">
        <v>1201</v>
      </c>
      <c r="Q3910" s="1380" t="str">
        <f>LEFT(base[[#This Row],[Evento / Mercado]],FIND("vs",base[[#This Row],[Evento / Mercado]])-2)</f>
        <v>FC Barcelona</v>
      </c>
      <c r="R3910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0" t="str">
        <f>LEFT(base[[#This Row],[Evento / Mercado]],FIND("/",base[[#This Row],[Evento / Mercado]])-2)</f>
        <v>FC Barcelona vs Athletic Bilbao</v>
      </c>
      <c r="T3910" s="1381">
        <f>base[[#This Row],[Data de liquidação]]</f>
        <v>46261.751747685186</v>
      </c>
    </row>
    <row r="3911" spans="2:20" ht="15" customHeight="1">
      <c r="B3911" s="1383" t="s">
        <v>4610</v>
      </c>
      <c r="C3911" s="859" t="s">
        <v>3510</v>
      </c>
      <c r="D3911" s="1384">
        <v>46262.391203703701</v>
      </c>
      <c r="E3911" s="1385">
        <v>0.44</v>
      </c>
      <c r="F3911" s="583">
        <v>4.4999999999999998E-2</v>
      </c>
      <c r="G3911" s="1386">
        <f t="shared" ref="G3911:G3926" si="153">IF(E3911&gt;0,E3911/(1-F3911),E3911)</f>
        <v>0.46073298429319376</v>
      </c>
      <c r="H3911" s="1365" t="s">
        <v>1644</v>
      </c>
      <c r="I3911" s="1387" t="s">
        <v>3291</v>
      </c>
      <c r="J3911" s="1386">
        <v>1.23</v>
      </c>
      <c r="K3911" s="1386">
        <v>2</v>
      </c>
      <c r="L3911" s="1384">
        <f>INT(base[[#This Row],[Data de liquidação]])</f>
        <v>46262</v>
      </c>
      <c r="M3911" s="1386">
        <f>base[[#This Row],[L/P Bruto]]-base[[#This Row],[L/P Líquido]]</f>
        <v>2.0732984293193757E-2</v>
      </c>
      <c r="N3911" s="1386">
        <f>base[[#This Row],[L/P Líquido]]/base[[#This Row],[Stake/Responsabilidade]]</f>
        <v>0.22</v>
      </c>
      <c r="O3911" s="1388">
        <f>IF(base[[#This Row],[L/P Líquido]]&gt;0,1,0)</f>
        <v>1</v>
      </c>
      <c r="P3911" s="1388"/>
      <c r="Q3911" s="1388" t="str">
        <f>LEFT(base[[#This Row],[Evento / Mercado]],FIND("vs",base[[#This Row],[Evento / Mercado]])-2)</f>
        <v>Shanghai Shenhua</v>
      </c>
      <c r="R391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388" t="str">
        <f>LEFT(base[[#This Row],[Evento / Mercado]],FIND("/",base[[#This Row],[Evento / Mercado]])-2)</f>
        <v>Shanghai Shenhua vs Shandong Taishan</v>
      </c>
      <c r="T3911" s="1389">
        <f>base[[#This Row],[Data de liquidação]]</f>
        <v>46262.391203703701</v>
      </c>
    </row>
    <row r="3912" spans="2:20" ht="15" customHeight="1">
      <c r="B3912" s="1383" t="s">
        <v>4609</v>
      </c>
      <c r="C3912" s="859" t="s">
        <v>3510</v>
      </c>
      <c r="D3912" s="1384">
        <v>46262.440474537034</v>
      </c>
      <c r="E3912" s="1385">
        <v>25.07</v>
      </c>
      <c r="F3912" s="583">
        <v>4.4999999999999998E-2</v>
      </c>
      <c r="G3912" s="1386">
        <f t="shared" si="153"/>
        <v>26.251308900523561</v>
      </c>
      <c r="H3912" s="1386" t="s">
        <v>74</v>
      </c>
      <c r="I3912" s="1387" t="s">
        <v>693</v>
      </c>
      <c r="J3912" s="1386">
        <v>17</v>
      </c>
      <c r="K3912" s="1386">
        <v>420</v>
      </c>
      <c r="L3912" s="1384">
        <f>INT(base[[#This Row],[Data de liquidação]])</f>
        <v>46262</v>
      </c>
      <c r="M3912" s="1386">
        <f>base[[#This Row],[L/P Bruto]]-base[[#This Row],[L/P Líquido]]</f>
        <v>1.1813089005235611</v>
      </c>
      <c r="N3912" s="1386">
        <f>base[[#This Row],[L/P Líquido]]/base[[#This Row],[Stake/Responsabilidade]]</f>
        <v>5.969047619047619E-2</v>
      </c>
      <c r="O3912" s="1388">
        <f>IF(base[[#This Row],[L/P Líquido]]&gt;0,1,0)</f>
        <v>1</v>
      </c>
      <c r="P3912" s="1397" t="s">
        <v>4464</v>
      </c>
      <c r="Q3912" s="1388" t="str">
        <f>LEFT(base[[#This Row],[Evento / Mercado]],FIND("vs",base[[#This Row],[Evento / Mercado]])-2)</f>
        <v>Dalian Yingbo</v>
      </c>
      <c r="R391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388" t="str">
        <f>LEFT(base[[#This Row],[Evento / Mercado]],FIND("/",base[[#This Row],[Evento / Mercado]])-2)</f>
        <v>Dalian Yingbo vs Beijing Guoan</v>
      </c>
      <c r="T3912" s="1389">
        <f>base[[#This Row],[Data de liquidação]]</f>
        <v>46262.440474537034</v>
      </c>
    </row>
    <row r="3913" spans="2:20" ht="15" customHeight="1">
      <c r="B3913" s="1383" t="s">
        <v>4608</v>
      </c>
      <c r="C3913" s="859" t="s">
        <v>3510</v>
      </c>
      <c r="D3913" s="1384">
        <v>46262.441400462965</v>
      </c>
      <c r="E3913" s="1385">
        <v>9.73</v>
      </c>
      <c r="F3913" s="583">
        <v>4.4999999999999998E-2</v>
      </c>
      <c r="G3913" s="1386">
        <f t="shared" si="153"/>
        <v>10.188481675392671</v>
      </c>
      <c r="H3913" s="1386" t="s">
        <v>3292</v>
      </c>
      <c r="I3913" s="1387" t="s">
        <v>626</v>
      </c>
      <c r="J3913" s="1386">
        <v>44</v>
      </c>
      <c r="K3913" s="1386">
        <v>438.17</v>
      </c>
      <c r="L3913" s="1384">
        <f>INT(base[[#This Row],[Data de liquidação]])</f>
        <v>46262</v>
      </c>
      <c r="M3913" s="1386">
        <f>base[[#This Row],[L/P Bruto]]-base[[#This Row],[L/P Líquido]]</f>
        <v>0.4584816753926706</v>
      </c>
      <c r="N3913" s="1386">
        <f>base[[#This Row],[L/P Líquido]]/base[[#This Row],[Stake/Responsabilidade]]</f>
        <v>2.2205993107697927E-2</v>
      </c>
      <c r="O3913" s="1388">
        <f>IF(base[[#This Row],[L/P Líquido]]&gt;0,1,0)</f>
        <v>1</v>
      </c>
      <c r="P3913" s="1388"/>
      <c r="Q3913" s="1388" t="str">
        <f>LEFT(base[[#This Row],[Evento / Mercado]],FIND("vs",base[[#This Row],[Evento / Mercado]])-2)</f>
        <v>Shanghai Shenhua</v>
      </c>
      <c r="R391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388" t="str">
        <f>LEFT(base[[#This Row],[Evento / Mercado]],FIND("/",base[[#This Row],[Evento / Mercado]])-2)</f>
        <v>Shanghai Shenhua vs Shandong Taishan</v>
      </c>
      <c r="T3913" s="1389">
        <f>base[[#This Row],[Data de liquidação]]</f>
        <v>46262.441400462965</v>
      </c>
    </row>
    <row r="3914" spans="2:20" ht="15" customHeight="1">
      <c r="B3914" s="1383" t="s">
        <v>4607</v>
      </c>
      <c r="C3914" s="859" t="s">
        <v>3510</v>
      </c>
      <c r="D3914" s="1384">
        <v>46262.456122685187</v>
      </c>
      <c r="E3914" s="1385">
        <v>-419.98</v>
      </c>
      <c r="F3914" s="583">
        <v>4.4999999999999998E-2</v>
      </c>
      <c r="G3914" s="1386">
        <f t="shared" si="153"/>
        <v>-419.98</v>
      </c>
      <c r="H3914" s="1386" t="s">
        <v>74</v>
      </c>
      <c r="I3914" s="1387" t="s">
        <v>692</v>
      </c>
      <c r="J3914" s="1386">
        <v>12.5</v>
      </c>
      <c r="K3914" s="1386">
        <v>419.98</v>
      </c>
      <c r="L3914" s="1384">
        <f>INT(base[[#This Row],[Data de liquidação]])</f>
        <v>46262</v>
      </c>
      <c r="M3914" s="1386">
        <f>base[[#This Row],[L/P Bruto]]-base[[#This Row],[L/P Líquido]]</f>
        <v>0</v>
      </c>
      <c r="N3914" s="1386">
        <f>base[[#This Row],[L/P Líquido]]/base[[#This Row],[Stake/Responsabilidade]]</f>
        <v>-1</v>
      </c>
      <c r="O3914" s="1388">
        <f>IF(base[[#This Row],[L/P Líquido]]&gt;0,1,0)</f>
        <v>0</v>
      </c>
      <c r="P3914" s="1397" t="s">
        <v>4464</v>
      </c>
      <c r="Q3914" s="1388" t="str">
        <f>LEFT(base[[#This Row],[Evento / Mercado]],FIND("vs",base[[#This Row],[Evento / Mercado]])-2)</f>
        <v>Shenzhen Peng City</v>
      </c>
      <c r="R391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388" t="str">
        <f>LEFT(base[[#This Row],[Evento / Mercado]],FIND("/",base[[#This Row],[Evento / Mercado]])-2)</f>
        <v>Shenzhen Peng City vs Shanghai Port</v>
      </c>
      <c r="T3914" s="1389">
        <f>base[[#This Row],[Data de liquidação]]</f>
        <v>46262.456122685187</v>
      </c>
    </row>
    <row r="3915" spans="2:20" ht="15" customHeight="1">
      <c r="B3915" s="1383" t="s">
        <v>4606</v>
      </c>
      <c r="C3915" s="859" t="s">
        <v>3510</v>
      </c>
      <c r="D3915" s="1384">
        <v>46262.593194444446</v>
      </c>
      <c r="E3915" s="1385">
        <v>70.739999999999995</v>
      </c>
      <c r="F3915" s="583">
        <v>4.4999999999999998E-2</v>
      </c>
      <c r="G3915" s="1386">
        <f t="shared" si="153"/>
        <v>74.073298429319365</v>
      </c>
      <c r="H3915" s="1372" t="s">
        <v>314</v>
      </c>
      <c r="I3915" s="1373" t="s">
        <v>349</v>
      </c>
      <c r="J3915" s="1386">
        <v>1.62</v>
      </c>
      <c r="K3915" s="1386">
        <v>120</v>
      </c>
      <c r="L3915" s="1384">
        <f>INT(base[[#This Row],[Data de liquidação]])</f>
        <v>46262</v>
      </c>
      <c r="M3915" s="1386">
        <f>base[[#This Row],[L/P Bruto]]-base[[#This Row],[L/P Líquido]]</f>
        <v>3.3332984293193704</v>
      </c>
      <c r="N3915" s="1386">
        <f>base[[#This Row],[L/P Líquido]]/base[[#This Row],[Stake/Responsabilidade]]</f>
        <v>0.58949999999999991</v>
      </c>
      <c r="O3915" s="1388">
        <f>IF(base[[#This Row],[L/P Líquido]]&gt;0,1,0)</f>
        <v>1</v>
      </c>
      <c r="P3915" s="1388"/>
      <c r="Q3915" s="1388" t="str">
        <f>LEFT(base[[#This Row],[Evento / Mercado]],FIND("vs",base[[#This Row],[Evento / Mercado]])-2)</f>
        <v>Eintracht Braunschweig</v>
      </c>
      <c r="R391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388" t="str">
        <f>LEFT(base[[#This Row],[Evento / Mercado]],FIND("/",base[[#This Row],[Evento / Mercado]])-2)</f>
        <v>Eintracht Braunschweig vs Hertha BSC</v>
      </c>
      <c r="T3915" s="1389">
        <f>base[[#This Row],[Data de liquidação]]</f>
        <v>46262.593194444446</v>
      </c>
    </row>
    <row r="3916" spans="2:20" ht="15" customHeight="1">
      <c r="B3916" s="1383" t="s">
        <v>4605</v>
      </c>
      <c r="C3916" s="859" t="s">
        <v>3510</v>
      </c>
      <c r="D3916" s="1384">
        <v>46262.61613425926</v>
      </c>
      <c r="E3916" s="1385">
        <v>-64.75</v>
      </c>
      <c r="F3916" s="583">
        <v>4.4999999999999998E-2</v>
      </c>
      <c r="G3916" s="1386">
        <f t="shared" si="153"/>
        <v>-64.75</v>
      </c>
      <c r="H3916" s="1386" t="s">
        <v>1644</v>
      </c>
      <c r="I3916" s="1433" t="s">
        <v>4682</v>
      </c>
      <c r="J3916" s="1386">
        <v>8.4</v>
      </c>
      <c r="K3916" s="1386">
        <v>64.75</v>
      </c>
      <c r="L3916" s="1384">
        <f>INT(base[[#This Row],[Data de liquidação]])</f>
        <v>46262</v>
      </c>
      <c r="M3916" s="1386">
        <f>base[[#This Row],[L/P Bruto]]-base[[#This Row],[L/P Líquido]]</f>
        <v>0</v>
      </c>
      <c r="N3916" s="1386">
        <f>base[[#This Row],[L/P Líquido]]/base[[#This Row],[Stake/Responsabilidade]]</f>
        <v>-1</v>
      </c>
      <c r="O3916" s="1388">
        <f>IF(base[[#This Row],[L/P Líquido]]&gt;0,1,0)</f>
        <v>0</v>
      </c>
      <c r="P3916" s="1388"/>
      <c r="Q3916" s="1388" t="str">
        <f>LEFT(base[[#This Row],[Evento / Mercado]],FIND("vs",base[[#This Row],[Evento / Mercado]])-2)</f>
        <v>Al-Riyadh</v>
      </c>
      <c r="R391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388" t="str">
        <f>LEFT(base[[#This Row],[Evento / Mercado]],FIND("/",base[[#This Row],[Evento / Mercado]])-2)</f>
        <v>Al-Riyadh vs Neom SC</v>
      </c>
      <c r="T3916" s="1389">
        <f>base[[#This Row],[Data de liquidação]]</f>
        <v>46262.61613425926</v>
      </c>
    </row>
    <row r="3917" spans="2:20" ht="15" customHeight="1">
      <c r="B3917" s="1383" t="s">
        <v>4604</v>
      </c>
      <c r="C3917" s="859" t="s">
        <v>3510</v>
      </c>
      <c r="D3917" s="1384">
        <v>46262.642164351855</v>
      </c>
      <c r="E3917" s="1385">
        <v>-400.03</v>
      </c>
      <c r="F3917" s="583">
        <v>4.4999999999999998E-2</v>
      </c>
      <c r="G3917" s="1386">
        <f t="shared" si="153"/>
        <v>-400.03</v>
      </c>
      <c r="H3917" s="1434" t="s">
        <v>4683</v>
      </c>
      <c r="I3917" s="1387" t="s">
        <v>626</v>
      </c>
      <c r="J3917" s="1386">
        <f>(4.2*100+6.2*100+5.3*100.02+5.7*100.02)/base[[#This Row],[Stake/Responsabilidade]]</f>
        <v>5.3500149985001499</v>
      </c>
      <c r="K3917" s="1386">
        <v>400.04</v>
      </c>
      <c r="L3917" s="1384">
        <f>INT(base[[#This Row],[Data de liquidação]])</f>
        <v>46262</v>
      </c>
      <c r="M3917" s="1386">
        <f>base[[#This Row],[L/P Bruto]]-base[[#This Row],[L/P Líquido]]</f>
        <v>0</v>
      </c>
      <c r="N3917" s="1386">
        <f>base[[#This Row],[L/P Líquido]]/base[[#This Row],[Stake/Responsabilidade]]</f>
        <v>-0.99997500249974991</v>
      </c>
      <c r="O3917" s="1388">
        <f>IF(base[[#This Row],[L/P Líquido]]&gt;0,1,0)</f>
        <v>0</v>
      </c>
      <c r="P3917" s="1388"/>
      <c r="Q3917" s="1388" t="str">
        <f>LEFT(base[[#This Row],[Evento / Mercado]],FIND("vs",base[[#This Row],[Evento / Mercado]])-2)</f>
        <v>VfL Bochum</v>
      </c>
      <c r="R3917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388" t="str">
        <f>LEFT(base[[#This Row],[Evento / Mercado]],FIND("/",base[[#This Row],[Evento / Mercado]])-2)</f>
        <v>VfL Bochum vs VfL Osnabrück</v>
      </c>
      <c r="T3917" s="1389">
        <f>base[[#This Row],[Data de liquidação]]</f>
        <v>46262.642164351855</v>
      </c>
    </row>
    <row r="3918" spans="2:20" ht="15" customHeight="1">
      <c r="B3918" s="1383" t="s">
        <v>4603</v>
      </c>
      <c r="C3918" s="859" t="s">
        <v>3510</v>
      </c>
      <c r="D3918" s="1384">
        <v>46262.702997685185</v>
      </c>
      <c r="E3918" s="1385">
        <v>29.75</v>
      </c>
      <c r="F3918" s="583">
        <v>4.4999999999999998E-2</v>
      </c>
      <c r="G3918" s="1386">
        <f t="shared" si="153"/>
        <v>31.151832460732987</v>
      </c>
      <c r="H3918" s="1434" t="s">
        <v>4683</v>
      </c>
      <c r="I3918" s="1387" t="s">
        <v>626</v>
      </c>
      <c r="J3918" s="1386">
        <f>(14*39.65+14.5*100.04+15.5*300.01)/base[[#This Row],[Stake/Responsabilidade]]</f>
        <v>15.137218558107801</v>
      </c>
      <c r="K3918" s="1386">
        <f>400.05+39.65</f>
        <v>439.7</v>
      </c>
      <c r="L3918" s="1384">
        <f>INT(base[[#This Row],[Data de liquidação]])</f>
        <v>46262</v>
      </c>
      <c r="M3918" s="1386">
        <f>base[[#This Row],[L/P Bruto]]-base[[#This Row],[L/P Líquido]]</f>
        <v>1.4018324607329866</v>
      </c>
      <c r="N3918" s="1386">
        <f>base[[#This Row],[L/P Líquido]]/base[[#This Row],[Stake/Responsabilidade]]</f>
        <v>6.7659768023652492E-2</v>
      </c>
      <c r="O3918" s="1388">
        <f>IF(base[[#This Row],[L/P Líquido]]&gt;0,1,0)</f>
        <v>1</v>
      </c>
      <c r="P3918" s="1388"/>
      <c r="Q3918" s="1388" t="str">
        <f>LEFT(base[[#This Row],[Evento / Mercado]],FIND("vs",base[[#This Row],[Evento / Mercado]])-2)</f>
        <v>Montpellier HSC</v>
      </c>
      <c r="R3918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388" t="str">
        <f>LEFT(base[[#This Row],[Evento / Mercado]],FIND("/",base[[#This Row],[Evento / Mercado]])-2)</f>
        <v>Montpellier HSC vs US Boulogne</v>
      </c>
      <c r="T3918" s="1389">
        <f>base[[#This Row],[Data de liquidação]]</f>
        <v>46262.702997685185</v>
      </c>
    </row>
    <row r="3919" spans="2:20" ht="15" customHeight="1">
      <c r="B3919" s="1383" t="s">
        <v>4602</v>
      </c>
      <c r="C3919" s="859" t="s">
        <v>3510</v>
      </c>
      <c r="D3919" s="1384">
        <v>46262.703761574077</v>
      </c>
      <c r="E3919" s="1385">
        <v>5.79</v>
      </c>
      <c r="F3919" s="583">
        <v>4.4999999999999998E-2</v>
      </c>
      <c r="G3919" s="1386">
        <f t="shared" si="153"/>
        <v>6.0628272251308903</v>
      </c>
      <c r="H3919" s="1434" t="s">
        <v>4683</v>
      </c>
      <c r="I3919" s="1387" t="s">
        <v>626</v>
      </c>
      <c r="J3919" s="1386">
        <v>17.5</v>
      </c>
      <c r="K3919" s="1386">
        <v>99.99</v>
      </c>
      <c r="L3919" s="1384">
        <f>INT(base[[#This Row],[Data de liquidação]])</f>
        <v>46262</v>
      </c>
      <c r="M3919" s="1386">
        <f>base[[#This Row],[L/P Bruto]]-base[[#This Row],[L/P Líquido]]</f>
        <v>0.27282722513089031</v>
      </c>
      <c r="N3919" s="1386">
        <f>base[[#This Row],[L/P Líquido]]/base[[#This Row],[Stake/Responsabilidade]]</f>
        <v>5.7905790579057911E-2</v>
      </c>
      <c r="O3919" s="1388">
        <f>IF(base[[#This Row],[L/P Líquido]]&gt;0,1,0)</f>
        <v>1</v>
      </c>
      <c r="P3919" s="1388"/>
      <c r="Q3919" s="1388" t="str">
        <f>LEFT(base[[#This Row],[Evento / Mercado]],FIND("vs",base[[#This Row],[Evento / Mercado]])-2)</f>
        <v>Rodez</v>
      </c>
      <c r="R3919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388" t="str">
        <f>LEFT(base[[#This Row],[Evento / Mercado]],FIND("/",base[[#This Row],[Evento / Mercado]])-2)</f>
        <v>Rodez vs Pau FC</v>
      </c>
      <c r="T3919" s="1389">
        <f>base[[#This Row],[Data de liquidação]]</f>
        <v>46262.703761574077</v>
      </c>
    </row>
    <row r="3920" spans="2:20" ht="15" customHeight="1">
      <c r="B3920" s="1383" t="s">
        <v>4601</v>
      </c>
      <c r="C3920" s="859" t="s">
        <v>3510</v>
      </c>
      <c r="D3920" s="1384">
        <v>46262.709351851852</v>
      </c>
      <c r="E3920" s="1385">
        <v>31.29</v>
      </c>
      <c r="F3920" s="583">
        <v>4.4999999999999998E-2</v>
      </c>
      <c r="G3920" s="1386">
        <f t="shared" si="153"/>
        <v>32.764397905759161</v>
      </c>
      <c r="H3920" s="1386" t="s">
        <v>3365</v>
      </c>
      <c r="I3920" s="1387" t="s">
        <v>391</v>
      </c>
      <c r="J3920" s="1386">
        <v>15.5</v>
      </c>
      <c r="K3920" s="1386">
        <v>475.02</v>
      </c>
      <c r="L3920" s="1384">
        <f>INT(base[[#This Row],[Data de liquidação]])</f>
        <v>46262</v>
      </c>
      <c r="M3920" s="1386">
        <f>base[[#This Row],[L/P Bruto]]-base[[#This Row],[L/P Líquido]]</f>
        <v>1.4743979057591616</v>
      </c>
      <c r="N3920" s="1386">
        <f>base[[#This Row],[L/P Líquido]]/base[[#This Row],[Stake/Responsabilidade]]</f>
        <v>6.5870910698496904E-2</v>
      </c>
      <c r="O3920" s="1388">
        <f>IF(base[[#This Row],[L/P Líquido]]&gt;0,1,0)</f>
        <v>1</v>
      </c>
      <c r="P3920" s="1397" t="s">
        <v>1209</v>
      </c>
      <c r="Q3920" s="1388" t="str">
        <f>LEFT(base[[#This Row],[Evento / Mercado]],FIND("vs",base[[#This Row],[Evento / Mercado]])-2)</f>
        <v>Al-Nassr Riyadh</v>
      </c>
      <c r="R3920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388" t="str">
        <f>LEFT(base[[#This Row],[Evento / Mercado]],FIND("/",base[[#This Row],[Evento / Mercado]])-2)</f>
        <v>Al-Nassr Riyadh vs Al-Taawoun Buraidah</v>
      </c>
      <c r="T3920" s="1389">
        <f>base[[#This Row],[Data de liquidação]]</f>
        <v>46262.709351851852</v>
      </c>
    </row>
    <row r="3921" spans="2:22" ht="15" customHeight="1">
      <c r="B3921" s="1383" t="s">
        <v>4600</v>
      </c>
      <c r="C3921" s="859" t="s">
        <v>3510</v>
      </c>
      <c r="D3921" s="1384">
        <v>46262.718842592592</v>
      </c>
      <c r="E3921" s="1385">
        <v>108.87</v>
      </c>
      <c r="F3921" s="583">
        <v>4.4999999999999998E-2</v>
      </c>
      <c r="G3921" s="1386">
        <f t="shared" si="153"/>
        <v>114.00000000000001</v>
      </c>
      <c r="H3921" s="1372" t="s">
        <v>314</v>
      </c>
      <c r="I3921" s="1373" t="s">
        <v>349</v>
      </c>
      <c r="J3921" s="1386">
        <v>1.95</v>
      </c>
      <c r="K3921" s="1386">
        <v>120</v>
      </c>
      <c r="L3921" s="1384">
        <f>INT(base[[#This Row],[Data de liquidação]])</f>
        <v>46262</v>
      </c>
      <c r="M3921" s="1386">
        <f>base[[#This Row],[L/P Bruto]]-base[[#This Row],[L/P Líquido]]</f>
        <v>5.1300000000000097</v>
      </c>
      <c r="N3921" s="1386">
        <f>base[[#This Row],[L/P Líquido]]/base[[#This Row],[Stake/Responsabilidade]]</f>
        <v>0.90725</v>
      </c>
      <c r="O3921" s="1388">
        <f>IF(base[[#This Row],[L/P Líquido]]&gt;0,1,0)</f>
        <v>1</v>
      </c>
      <c r="P3921" s="1388"/>
      <c r="Q3921" s="1388" t="str">
        <f>LEFT(base[[#This Row],[Evento / Mercado]],FIND("vs",base[[#This Row],[Evento / Mercado]])-2)</f>
        <v>Wrexham</v>
      </c>
      <c r="R392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388" t="str">
        <f>LEFT(base[[#This Row],[Evento / Mercado]],FIND("/",base[[#This Row],[Evento / Mercado]])-2)</f>
        <v>Wrexham vs Birmingham City</v>
      </c>
      <c r="T3921" s="1389">
        <f>base[[#This Row],[Data de liquidação]]</f>
        <v>46262.718842592592</v>
      </c>
    </row>
    <row r="3922" spans="2:22" ht="15" customHeight="1">
      <c r="B3922" s="1383" t="s">
        <v>1564</v>
      </c>
      <c r="C3922" s="859" t="s">
        <v>3510</v>
      </c>
      <c r="D3922" s="1384">
        <v>46262.726076388892</v>
      </c>
      <c r="E3922" s="1385">
        <v>43.2</v>
      </c>
      <c r="F3922" s="583">
        <v>4.4999999999999998E-2</v>
      </c>
      <c r="G3922" s="1386">
        <f t="shared" si="153"/>
        <v>45.235602094240839</v>
      </c>
      <c r="H3922" s="1386" t="s">
        <v>3365</v>
      </c>
      <c r="I3922" s="1387" t="s">
        <v>391</v>
      </c>
      <c r="J3922" s="1386">
        <v>11.5</v>
      </c>
      <c r="K3922" s="1386">
        <v>475.02</v>
      </c>
      <c r="L3922" s="1384">
        <f>INT(base[[#This Row],[Data de liquidação]])</f>
        <v>46262</v>
      </c>
      <c r="M3922" s="1386">
        <f>base[[#This Row],[L/P Bruto]]-base[[#This Row],[L/P Líquido]]</f>
        <v>2.0356020942408364</v>
      </c>
      <c r="N3922" s="1386">
        <f>base[[#This Row],[L/P Líquido]]/base[[#This Row],[Stake/Responsabilidade]]</f>
        <v>9.0943539219401293E-2</v>
      </c>
      <c r="O3922" s="1388">
        <f>IF(base[[#This Row],[L/P Líquido]]&gt;0,1,0)</f>
        <v>1</v>
      </c>
      <c r="P3922" s="1397" t="s">
        <v>1199</v>
      </c>
      <c r="Q3922" s="1388" t="str">
        <f>LEFT(base[[#This Row],[Evento / Mercado]],FIND("vs",base[[#This Row],[Evento / Mercado]])-2)</f>
        <v>FC Bayern München</v>
      </c>
      <c r="R392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388" t="str">
        <f>LEFT(base[[#This Row],[Evento / Mercado]],FIND("/",base[[#This Row],[Evento / Mercado]])-2)</f>
        <v>FC Bayern München vs VfB Stuttgart</v>
      </c>
      <c r="T3922" s="1389">
        <f>base[[#This Row],[Data de liquidação]]</f>
        <v>46262.726076388892</v>
      </c>
    </row>
    <row r="3923" spans="2:22" ht="15" customHeight="1">
      <c r="B3923" s="1383" t="s">
        <v>4599</v>
      </c>
      <c r="C3923" s="859" t="s">
        <v>3510</v>
      </c>
      <c r="D3923" s="1384">
        <v>46262.742395833331</v>
      </c>
      <c r="E3923" s="1385">
        <v>91.52</v>
      </c>
      <c r="F3923" s="583">
        <v>4.4999999999999998E-2</v>
      </c>
      <c r="G3923" s="1386">
        <f t="shared" si="153"/>
        <v>95.832460732984288</v>
      </c>
      <c r="H3923" s="1372" t="s">
        <v>314</v>
      </c>
      <c r="I3923" s="1373" t="s">
        <v>349</v>
      </c>
      <c r="J3923" s="1386">
        <v>1.8</v>
      </c>
      <c r="K3923" s="1386">
        <v>119.75</v>
      </c>
      <c r="L3923" s="1384">
        <f>INT(base[[#This Row],[Data de liquidação]])</f>
        <v>46262</v>
      </c>
      <c r="M3923" s="1386">
        <f>base[[#This Row],[L/P Bruto]]-base[[#This Row],[L/P Líquido]]</f>
        <v>4.3124607329842917</v>
      </c>
      <c r="N3923" s="1386">
        <f>base[[#This Row],[L/P Líquido]]/base[[#This Row],[Stake/Responsabilidade]]</f>
        <v>0.76425887265135695</v>
      </c>
      <c r="O3923" s="1388">
        <f>IF(base[[#This Row],[L/P Líquido]]&gt;0,1,0)</f>
        <v>1</v>
      </c>
      <c r="P3923" s="1388"/>
      <c r="Q3923" s="1388" t="str">
        <f>LEFT(base[[#This Row],[Evento / Mercado]],FIND("vs",base[[#This Row],[Evento / Mercado]])-2)</f>
        <v>Lille OSC</v>
      </c>
      <c r="R392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388" t="str">
        <f>LEFT(base[[#This Row],[Evento / Mercado]],FIND("/",base[[#This Row],[Evento / Mercado]])-2)</f>
        <v>Lille OSC vs Paris Saint-Germain</v>
      </c>
      <c r="T3923" s="1389">
        <f>base[[#This Row],[Data de liquidação]]</f>
        <v>46262.742395833331</v>
      </c>
    </row>
    <row r="3924" spans="2:22" ht="15" customHeight="1">
      <c r="B3924" s="1383" t="s">
        <v>4598</v>
      </c>
      <c r="C3924" s="859" t="s">
        <v>3510</v>
      </c>
      <c r="D3924" s="1384">
        <v>46262.756273148145</v>
      </c>
      <c r="E3924" s="1385">
        <v>47.75</v>
      </c>
      <c r="F3924" s="583">
        <v>4.4999999999999998E-2</v>
      </c>
      <c r="G3924" s="1386">
        <f t="shared" si="153"/>
        <v>50</v>
      </c>
      <c r="H3924" s="1386" t="s">
        <v>3365</v>
      </c>
      <c r="I3924" s="1387" t="s">
        <v>390</v>
      </c>
      <c r="J3924" s="1386">
        <v>10.5</v>
      </c>
      <c r="K3924" s="1386">
        <v>475</v>
      </c>
      <c r="L3924" s="1384">
        <f>INT(base[[#This Row],[Data de liquidação]])</f>
        <v>46262</v>
      </c>
      <c r="M3924" s="1386">
        <f>base[[#This Row],[L/P Bruto]]-base[[#This Row],[L/P Líquido]]</f>
        <v>2.25</v>
      </c>
      <c r="N3924" s="1386">
        <f>base[[#This Row],[L/P Líquido]]/base[[#This Row],[Stake/Responsabilidade]]</f>
        <v>0.10052631578947369</v>
      </c>
      <c r="O3924" s="1388">
        <f>IF(base[[#This Row],[L/P Líquido]]&gt;0,1,0)</f>
        <v>1</v>
      </c>
      <c r="P3924" s="1397" t="s">
        <v>1202</v>
      </c>
      <c r="Q3924" s="1388" t="str">
        <f>LEFT(base[[#This Row],[Evento / Mercado]],FIND("vs",base[[#This Row],[Evento / Mercado]])-2)</f>
        <v>Rio Ave</v>
      </c>
      <c r="R392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388" t="str">
        <f>LEFT(base[[#This Row],[Evento / Mercado]],FIND("/",base[[#This Row],[Evento / Mercado]])-2)</f>
        <v>Rio Ave vs Sporting CP</v>
      </c>
      <c r="T3924" s="1389">
        <f>base[[#This Row],[Data de liquidação]]</f>
        <v>46262.756273148145</v>
      </c>
    </row>
    <row r="3925" spans="2:22" ht="15" customHeight="1">
      <c r="B3925" s="1383" t="s">
        <v>4597</v>
      </c>
      <c r="C3925" s="859" t="s">
        <v>3510</v>
      </c>
      <c r="D3925" s="1384">
        <v>46262.76525462963</v>
      </c>
      <c r="E3925" s="1385">
        <v>-120</v>
      </c>
      <c r="F3925" s="583">
        <v>4.4999999999999998E-2</v>
      </c>
      <c r="G3925" s="1386">
        <f t="shared" si="153"/>
        <v>-120</v>
      </c>
      <c r="H3925" s="1372" t="s">
        <v>314</v>
      </c>
      <c r="I3925" s="1373" t="s">
        <v>349</v>
      </c>
      <c r="J3925" s="1386">
        <v>1.73</v>
      </c>
      <c r="K3925" s="1386">
        <v>120</v>
      </c>
      <c r="L3925" s="1384">
        <f>INT(base[[#This Row],[Data de liquidação]])</f>
        <v>46262</v>
      </c>
      <c r="M3925" s="1386">
        <f>base[[#This Row],[L/P Bruto]]-base[[#This Row],[L/P Líquido]]</f>
        <v>0</v>
      </c>
      <c r="N3925" s="1386">
        <f>base[[#This Row],[L/P Líquido]]/base[[#This Row],[Stake/Responsabilidade]]</f>
        <v>-1</v>
      </c>
      <c r="O3925" s="1388">
        <f>IF(base[[#This Row],[L/P Líquido]]&gt;0,1,0)</f>
        <v>0</v>
      </c>
      <c r="P3925" s="1388"/>
      <c r="Q3925" s="1388" t="str">
        <f>LEFT(base[[#This Row],[Evento / Mercado]],FIND("vs",base[[#This Row],[Evento / Mercado]])-2)</f>
        <v>Deportivo Alaves</v>
      </c>
      <c r="R392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388" t="str">
        <f>LEFT(base[[#This Row],[Evento / Mercado]],FIND("/",base[[#This Row],[Evento / Mercado]])-2)</f>
        <v>Deportivo Alaves vs Villarreal</v>
      </c>
      <c r="T3925" s="1389">
        <f>base[[#This Row],[Data de liquidação]]</f>
        <v>46262.76525462963</v>
      </c>
    </row>
    <row r="3926" spans="2:22" ht="15" customHeight="1">
      <c r="B3926" s="1383" t="s">
        <v>4596</v>
      </c>
      <c r="C3926" s="859" t="s">
        <v>3510</v>
      </c>
      <c r="D3926" s="1384">
        <v>46262.923946759256</v>
      </c>
      <c r="E3926" s="1385">
        <v>0.76</v>
      </c>
      <c r="F3926" s="583">
        <v>4.4999999999999998E-2</v>
      </c>
      <c r="G3926" s="1386">
        <f t="shared" si="153"/>
        <v>0.79581151832460739</v>
      </c>
      <c r="H3926" s="1365" t="s">
        <v>1644</v>
      </c>
      <c r="I3926" s="1387" t="s">
        <v>3291</v>
      </c>
      <c r="J3926" s="1386">
        <v>1.4</v>
      </c>
      <c r="K3926" s="1386">
        <v>2</v>
      </c>
      <c r="L3926" s="1384">
        <f>INT(base[[#This Row],[Data de liquidação]])</f>
        <v>46262</v>
      </c>
      <c r="M3926" s="1386">
        <f>base[[#This Row],[L/P Bruto]]-base[[#This Row],[L/P Líquido]]</f>
        <v>3.5811518324607383E-2</v>
      </c>
      <c r="N3926" s="1386">
        <f>base[[#This Row],[L/P Líquido]]/base[[#This Row],[Stake/Responsabilidade]]</f>
        <v>0.38</v>
      </c>
      <c r="O3926" s="1388">
        <f>IF(base[[#This Row],[L/P Líquido]]&gt;0,1,0)</f>
        <v>1</v>
      </c>
      <c r="P3926" s="1388"/>
      <c r="Q3926" s="1388" t="str">
        <f>LEFT(base[[#This Row],[Evento / Mercado]],FIND("vs",base[[#This Row],[Evento / Mercado]])-2)</f>
        <v>Atletico Ottawa</v>
      </c>
      <c r="R392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388" t="str">
        <f>LEFT(base[[#This Row],[Evento / Mercado]],FIND("/",base[[#This Row],[Evento / Mercado]])-2)</f>
        <v>Atletico Ottawa vs Inter Toronto FC</v>
      </c>
      <c r="T3926" s="1389">
        <f>base[[#This Row],[Data de liquidação]]</f>
        <v>46262.923946759256</v>
      </c>
    </row>
    <row r="3927" spans="2:22" ht="15" customHeight="1">
      <c r="B3927" s="1390" t="s">
        <v>4630</v>
      </c>
      <c r="C3927" s="859" t="s">
        <v>3510</v>
      </c>
      <c r="D3927" s="1391">
        <v>46263.332256944443</v>
      </c>
      <c r="E3927" s="1392">
        <v>6.37</v>
      </c>
      <c r="F3927" s="583">
        <v>4.4999999999999998E-2</v>
      </c>
      <c r="G3927" s="1393">
        <f t="shared" ref="G3927:G3948" si="154">IF(E3927&gt;0,E3927/(1-F3927),E3927)</f>
        <v>6.6701570680628279</v>
      </c>
      <c r="H3927" s="1365" t="s">
        <v>1644</v>
      </c>
      <c r="I3927" s="1433" t="s">
        <v>4682</v>
      </c>
      <c r="J3927" s="1393">
        <v>11.5</v>
      </c>
      <c r="K3927" s="1393">
        <v>70.040000000000006</v>
      </c>
      <c r="L3927" s="1391">
        <f>INT(base[[#This Row],[Data de liquidação]])</f>
        <v>46263</v>
      </c>
      <c r="M3927" s="1393">
        <f>base[[#This Row],[L/P Bruto]]-base[[#This Row],[L/P Líquido]]</f>
        <v>0.30015706806282783</v>
      </c>
      <c r="N3927" s="1393">
        <f>base[[#This Row],[L/P Líquido]]/base[[#This Row],[Stake/Responsabilidade]]</f>
        <v>9.0948029697315816E-2</v>
      </c>
      <c r="O3927" s="1395">
        <f>IF(base[[#This Row],[L/P Líquido]]&gt;0,1,0)</f>
        <v>1</v>
      </c>
      <c r="P3927" s="1395"/>
      <c r="Q3927" s="1395" t="str">
        <f>LEFT(base[[#This Row],[Evento / Mercado]],FIND("vs",base[[#This Row],[Evento / Mercado]])-2)</f>
        <v>Gamba Osaka</v>
      </c>
      <c r="R392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395" t="str">
        <f>LEFT(base[[#This Row],[Evento / Mercado]],FIND("/",base[[#This Row],[Evento / Mercado]])-2)</f>
        <v>Gamba Osaka vs Sanfrecce Hiroshima</v>
      </c>
      <c r="T3927" s="1396">
        <f>base[[#This Row],[Data de liquidação]]</f>
        <v>46263.332256944443</v>
      </c>
    </row>
    <row r="3928" spans="2:22" ht="15" customHeight="1">
      <c r="B3928" s="1390" t="s">
        <v>4629</v>
      </c>
      <c r="C3928" s="859" t="s">
        <v>3510</v>
      </c>
      <c r="D3928" s="1391">
        <v>46263.353761574072</v>
      </c>
      <c r="E3928" s="1392">
        <v>7.77</v>
      </c>
      <c r="F3928" s="583">
        <v>4.4999999999999998E-2</v>
      </c>
      <c r="G3928" s="1393">
        <f t="shared" si="154"/>
        <v>8.1361256544502609</v>
      </c>
      <c r="H3928" s="1365" t="s">
        <v>1644</v>
      </c>
      <c r="I3928" s="1433" t="s">
        <v>4682</v>
      </c>
      <c r="J3928" s="1393">
        <v>9.8000000000000007</v>
      </c>
      <c r="K3928" s="1393">
        <v>71.63</v>
      </c>
      <c r="L3928" s="1391">
        <f>INT(base[[#This Row],[Data de liquidação]])</f>
        <v>46263</v>
      </c>
      <c r="M3928" s="1393">
        <f>base[[#This Row],[L/P Bruto]]-base[[#This Row],[L/P Líquido]]</f>
        <v>0.36612565445026135</v>
      </c>
      <c r="N3928" s="1393">
        <f>base[[#This Row],[L/P Líquido]]/base[[#This Row],[Stake/Responsabilidade]]</f>
        <v>0.10847410302945694</v>
      </c>
      <c r="O3928" s="1395">
        <f>IF(base[[#This Row],[L/P Líquido]]&gt;0,1,0)</f>
        <v>1</v>
      </c>
      <c r="P3928" s="1395"/>
      <c r="Q3928" s="1395" t="str">
        <f>LEFT(base[[#This Row],[Evento / Mercado]],FIND("vs",base[[#This Row],[Evento / Mercado]])-2)</f>
        <v>Shimizu S-Pulse</v>
      </c>
      <c r="R392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395" t="str">
        <f>LEFT(base[[#This Row],[Evento / Mercado]],FIND("/",base[[#This Row],[Evento / Mercado]])-2)</f>
        <v>Shimizu S-Pulse vs Kashiwa Reysol</v>
      </c>
      <c r="T3928" s="1396">
        <f>base[[#This Row],[Data de liquidação]]</f>
        <v>46263.353761574072</v>
      </c>
    </row>
    <row r="3929" spans="2:22" ht="15" customHeight="1">
      <c r="B3929" s="1390" t="s">
        <v>4628</v>
      </c>
      <c r="C3929" s="859" t="s">
        <v>3510</v>
      </c>
      <c r="D3929" s="1391">
        <v>46263.397893518515</v>
      </c>
      <c r="E3929" s="1392">
        <v>1.18</v>
      </c>
      <c r="F3929" s="583">
        <v>4.4999999999999998E-2</v>
      </c>
      <c r="G3929" s="1393">
        <f t="shared" si="154"/>
        <v>1.2356020942408377</v>
      </c>
      <c r="H3929" s="1365" t="s">
        <v>1644</v>
      </c>
      <c r="I3929" s="1387" t="s">
        <v>3291</v>
      </c>
      <c r="J3929" s="1393">
        <v>1.62</v>
      </c>
      <c r="K3929" s="1393">
        <v>2</v>
      </c>
      <c r="L3929" s="1391">
        <f>INT(base[[#This Row],[Data de liquidação]])</f>
        <v>46263</v>
      </c>
      <c r="M3929" s="1393">
        <f>base[[#This Row],[L/P Bruto]]-base[[#This Row],[L/P Líquido]]</f>
        <v>5.5602094240837729E-2</v>
      </c>
      <c r="N3929" s="1393">
        <f>base[[#This Row],[L/P Líquido]]/base[[#This Row],[Stake/Responsabilidade]]</f>
        <v>0.59</v>
      </c>
      <c r="O3929" s="1395">
        <f>IF(base[[#This Row],[L/P Líquido]]&gt;0,1,0)</f>
        <v>1</v>
      </c>
      <c r="P3929" s="1395"/>
      <c r="Q3929" s="1395" t="str">
        <f>LEFT(base[[#This Row],[Evento / Mercado]],FIND("vs",base[[#This Row],[Evento / Mercado]])-2)</f>
        <v>1. FC Heidenheim</v>
      </c>
      <c r="R392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395" t="str">
        <f>LEFT(base[[#This Row],[Evento / Mercado]],FIND("/",base[[#This Row],[Evento / Mercado]])-2)</f>
        <v>1. FC Heidenheim vs Dynamo Dresden</v>
      </c>
      <c r="T3929" s="1396">
        <f>base[[#This Row],[Data de liquidação]]</f>
        <v>46263.397893518515</v>
      </c>
    </row>
    <row r="3930" spans="2:22" ht="15" customHeight="1">
      <c r="B3930" s="1390" t="s">
        <v>4627</v>
      </c>
      <c r="C3930" s="859" t="s">
        <v>3510</v>
      </c>
      <c r="D3930" s="1391">
        <v>46263.411863425928</v>
      </c>
      <c r="E3930" s="1392">
        <v>93.97</v>
      </c>
      <c r="F3930" s="583">
        <v>4.4999999999999998E-2</v>
      </c>
      <c r="G3930" s="1393">
        <f t="shared" si="154"/>
        <v>98.397905759162313</v>
      </c>
      <c r="H3930" s="1372" t="s">
        <v>314</v>
      </c>
      <c r="I3930" s="1373" t="s">
        <v>349</v>
      </c>
      <c r="J3930" s="1393">
        <v>1.82</v>
      </c>
      <c r="K3930" s="1393">
        <v>120</v>
      </c>
      <c r="L3930" s="1391">
        <f>INT(base[[#This Row],[Data de liquidação]])</f>
        <v>46263</v>
      </c>
      <c r="M3930" s="1393">
        <f>base[[#This Row],[L/P Bruto]]-base[[#This Row],[L/P Líquido]]</f>
        <v>4.4279057591623143</v>
      </c>
      <c r="N3930" s="1393">
        <f>base[[#This Row],[L/P Líquido]]/base[[#This Row],[Stake/Responsabilidade]]</f>
        <v>0.78308333333333335</v>
      </c>
      <c r="O3930" s="1395">
        <f>IF(base[[#This Row],[L/P Líquido]]&gt;0,1,0)</f>
        <v>1</v>
      </c>
      <c r="P3930" s="1395"/>
      <c r="Q3930" s="1395" t="str">
        <f>LEFT(base[[#This Row],[Evento / Mercado]],FIND("vs",base[[#This Row],[Evento / Mercado]])-2)</f>
        <v>Middlesbrough</v>
      </c>
      <c r="R393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395" t="str">
        <f>LEFT(base[[#This Row],[Evento / Mercado]],FIND("/",base[[#This Row],[Evento / Mercado]])-2)</f>
        <v>Middlesbrough vs West Bromwich Albion</v>
      </c>
      <c r="T3930" s="1396">
        <f>base[[#This Row],[Data de liquidação]]</f>
        <v>46263.411863425928</v>
      </c>
    </row>
    <row r="3931" spans="2:22" ht="15" customHeight="1">
      <c r="B3931" s="1390" t="s">
        <v>4626</v>
      </c>
      <c r="C3931" s="859" t="s">
        <v>3510</v>
      </c>
      <c r="D3931" s="1391">
        <v>46263.430648148147</v>
      </c>
      <c r="E3931" s="1392">
        <v>1.71</v>
      </c>
      <c r="F3931" s="583">
        <v>4.4999999999999998E-2</v>
      </c>
      <c r="G3931" s="1393">
        <f t="shared" si="154"/>
        <v>1.7905759162303665</v>
      </c>
      <c r="H3931" s="1365" t="s">
        <v>1644</v>
      </c>
      <c r="I3931" s="1387" t="s">
        <v>3291</v>
      </c>
      <c r="J3931" s="1393">
        <v>1.89</v>
      </c>
      <c r="K3931" s="1393">
        <v>2</v>
      </c>
      <c r="L3931" s="1391">
        <f>INT(base[[#This Row],[Data de liquidação]])</f>
        <v>46263</v>
      </c>
      <c r="M3931" s="1393">
        <f>base[[#This Row],[L/P Bruto]]-base[[#This Row],[L/P Líquido]]</f>
        <v>8.0575916230366529E-2</v>
      </c>
      <c r="N3931" s="1393">
        <f>base[[#This Row],[L/P Líquido]]/base[[#This Row],[Stake/Responsabilidade]]</f>
        <v>0.85499999999999998</v>
      </c>
      <c r="O3931" s="1395">
        <f>IF(base[[#This Row],[L/P Líquido]]&gt;0,1,0)</f>
        <v>1</v>
      </c>
      <c r="P3931" s="1395"/>
      <c r="Q3931" s="1395" t="str">
        <f>LEFT(base[[#This Row],[Evento / Mercado]],FIND("vs",base[[#This Row],[Evento / Mercado]])-2)</f>
        <v>Derby County</v>
      </c>
      <c r="R393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395" t="str">
        <f>LEFT(base[[#This Row],[Evento / Mercado]],FIND("/",base[[#This Row],[Evento / Mercado]])-2)</f>
        <v>Derby County vs Swansea City</v>
      </c>
      <c r="T3931" s="1396">
        <f>base[[#This Row],[Data de liquidação]]</f>
        <v>46263.430648148147</v>
      </c>
    </row>
    <row r="3932" spans="2:22" ht="15" customHeight="1">
      <c r="B3932" s="1390" t="s">
        <v>4625</v>
      </c>
      <c r="C3932" s="859" t="s">
        <v>3510</v>
      </c>
      <c r="D3932" s="1391">
        <v>46263.436562499999</v>
      </c>
      <c r="E3932" s="1392">
        <v>31.73</v>
      </c>
      <c r="F3932" s="583">
        <v>4.4999999999999998E-2</v>
      </c>
      <c r="G3932" s="1393">
        <f t="shared" si="154"/>
        <v>33.225130890052355</v>
      </c>
      <c r="H3932" s="1393" t="s">
        <v>4315</v>
      </c>
      <c r="I3932" s="1394"/>
      <c r="J3932" s="1393">
        <v>8.4</v>
      </c>
      <c r="K3932" s="1393">
        <v>245.85</v>
      </c>
      <c r="L3932" s="1391">
        <f>INT(base[[#This Row],[Data de liquidação]])</f>
        <v>46263</v>
      </c>
      <c r="M3932" s="1393">
        <f>base[[#This Row],[L/P Bruto]]-base[[#This Row],[L/P Líquido]]</f>
        <v>1.495130890052355</v>
      </c>
      <c r="N3932" s="1393">
        <f>base[[#This Row],[L/P Líquido]]/base[[#This Row],[Stake/Responsabilidade]]</f>
        <v>0.12906243644498677</v>
      </c>
      <c r="O3932" s="1395">
        <f>IF(base[[#This Row],[L/P Líquido]]&gt;0,1,0)</f>
        <v>1</v>
      </c>
      <c r="P3932" s="1395"/>
      <c r="Q3932" s="1395" t="str">
        <f>LEFT(base[[#This Row],[Evento / Mercado]],FIND("vs",base[[#This Row],[Evento / Mercado]])-2)</f>
        <v>Chengdu Rongcheng</v>
      </c>
      <c r="R393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395" t="str">
        <f>LEFT(base[[#This Row],[Evento / Mercado]],FIND("/",base[[#This Row],[Evento / Mercado]])-2)</f>
        <v>Chengdu Rongcheng vs Liaoning Tieren F.C.</v>
      </c>
      <c r="T3932" s="1396">
        <f>base[[#This Row],[Data de liquidação]]</f>
        <v>46263.436562499999</v>
      </c>
    </row>
    <row r="3933" spans="2:22" ht="15" customHeight="1">
      <c r="B3933" s="1390" t="s">
        <v>4624</v>
      </c>
      <c r="C3933" s="859" t="s">
        <v>3510</v>
      </c>
      <c r="D3933" s="1391">
        <v>46263.493518518517</v>
      </c>
      <c r="E3933" s="1392">
        <v>13.169449999999999</v>
      </c>
      <c r="F3933" s="583">
        <v>4.4999999999999998E-2</v>
      </c>
      <c r="G3933" s="1393">
        <f t="shared" si="154"/>
        <v>13.79</v>
      </c>
      <c r="H3933" s="1393" t="s">
        <v>74</v>
      </c>
      <c r="I3933" s="1394" t="s">
        <v>626</v>
      </c>
      <c r="J3933" s="1393">
        <v>30</v>
      </c>
      <c r="K3933" s="1393">
        <v>399.91</v>
      </c>
      <c r="L3933" s="1391">
        <f>INT(base[[#This Row],[Data de liquidação]])</f>
        <v>46263</v>
      </c>
      <c r="M3933" s="1393">
        <f>base[[#This Row],[L/P Bruto]]-base[[#This Row],[L/P Líquido]]</f>
        <v>0.62054999999999971</v>
      </c>
      <c r="N3933" s="1393">
        <f>base[[#This Row],[L/P Líquido]]/base[[#This Row],[Stake/Responsabilidade]]</f>
        <v>3.2931034482758616E-2</v>
      </c>
      <c r="O3933" s="1395">
        <f>IF(base[[#This Row],[L/P Líquido]]&gt;0,1,0)</f>
        <v>1</v>
      </c>
      <c r="P3933" s="1395" t="s">
        <v>4462</v>
      </c>
      <c r="Q3933" s="1395" t="str">
        <f>LEFT(base[[#This Row],[Evento / Mercado]],FIND("vs",base[[#This Row],[Evento / Mercado]])-2)</f>
        <v>BK Häcken</v>
      </c>
      <c r="R393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395" t="str">
        <f>LEFT(base[[#This Row],[Evento / Mercado]],FIND("/",base[[#This Row],[Evento / Mercado]])-2)</f>
        <v>BK Häcken vs Västerås SK FK</v>
      </c>
      <c r="T3933" s="1396">
        <f>base[[#This Row],[Data de liquidação]]</f>
        <v>46263.493518518517</v>
      </c>
    </row>
    <row r="3934" spans="2:22" ht="15" customHeight="1">
      <c r="B3934" s="1390" t="s">
        <v>4624</v>
      </c>
      <c r="C3934" s="859" t="s">
        <v>3510</v>
      </c>
      <c r="D3934" s="1391">
        <v>46263.493518518517</v>
      </c>
      <c r="E3934" s="1392">
        <v>23.875</v>
      </c>
      <c r="F3934" s="583">
        <v>4.4999999999999998E-2</v>
      </c>
      <c r="G3934" s="1393">
        <f t="shared" ref="G3934" si="155">IF(E3934&gt;0,E3934/(1-F3934),E3934)</f>
        <v>25</v>
      </c>
      <c r="H3934" s="1434" t="s">
        <v>4683</v>
      </c>
      <c r="I3934" s="1394" t="s">
        <v>626</v>
      </c>
      <c r="J3934" s="1393">
        <v>17</v>
      </c>
      <c r="K3934" s="1393">
        <v>400</v>
      </c>
      <c r="L3934" s="1391">
        <f>INT(base[[#This Row],[Data de liquidação]])</f>
        <v>46263</v>
      </c>
      <c r="M3934" s="1393">
        <f>base[[#This Row],[L/P Bruto]]-base[[#This Row],[L/P Líquido]]</f>
        <v>1.125</v>
      </c>
      <c r="N3934" s="1393">
        <f>base[[#This Row],[L/P Líquido]]/base[[#This Row],[Stake/Responsabilidade]]</f>
        <v>5.9687499999999998E-2</v>
      </c>
      <c r="O3934" s="1395">
        <f>IF(base[[#This Row],[L/P Líquido]]&gt;0,1,0)</f>
        <v>1</v>
      </c>
      <c r="P3934" s="1395"/>
      <c r="Q3934" s="1395" t="str">
        <f>LEFT(base[[#This Row],[Evento / Mercado]],FIND("vs",base[[#This Row],[Evento / Mercado]])-2)</f>
        <v>BK Häcken</v>
      </c>
      <c r="R393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395" t="str">
        <f>LEFT(base[[#This Row],[Evento / Mercado]],FIND("/",base[[#This Row],[Evento / Mercado]])-2)</f>
        <v>BK Häcken vs Västerås SK FK</v>
      </c>
      <c r="T3934" s="1396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>
      <c r="B3935" s="1390" t="s">
        <v>4623</v>
      </c>
      <c r="C3935" s="859" t="s">
        <v>3510</v>
      </c>
      <c r="D3935" s="1391">
        <v>46263.50540509259</v>
      </c>
      <c r="E3935" s="1392">
        <v>68.760000000000005</v>
      </c>
      <c r="F3935" s="583">
        <v>4.4999999999999998E-2</v>
      </c>
      <c r="G3935" s="1393">
        <f t="shared" si="154"/>
        <v>72.000000000000014</v>
      </c>
      <c r="H3935" s="1372" t="s">
        <v>314</v>
      </c>
      <c r="I3935" s="1373" t="s">
        <v>349</v>
      </c>
      <c r="J3935" s="1393">
        <v>1.6</v>
      </c>
      <c r="K3935" s="1393">
        <v>120</v>
      </c>
      <c r="L3935" s="1391">
        <f>INT(base[[#This Row],[Data de liquidação]])</f>
        <v>46263</v>
      </c>
      <c r="M3935" s="1393">
        <f>base[[#This Row],[L/P Bruto]]-base[[#This Row],[L/P Líquido]]</f>
        <v>3.2400000000000091</v>
      </c>
      <c r="N3935" s="1393">
        <f>base[[#This Row],[L/P Líquido]]/base[[#This Row],[Stake/Responsabilidade]]</f>
        <v>0.57300000000000006</v>
      </c>
      <c r="O3935" s="1395">
        <f>IF(base[[#This Row],[L/P Líquido]]&gt;0,1,0)</f>
        <v>1</v>
      </c>
      <c r="P3935" s="1395"/>
      <c r="Q3935" s="1395" t="str">
        <f>LEFT(base[[#This Row],[Evento / Mercado]],FIND("vs",base[[#This Row],[Evento / Mercado]])-2)</f>
        <v>SV Elversberg</v>
      </c>
      <c r="R393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395" t="str">
        <f>LEFT(base[[#This Row],[Evento / Mercado]],FIND("/",base[[#This Row],[Evento / Mercado]])-2)</f>
        <v>SV Elversberg vs Bayer 04 Leverkusen</v>
      </c>
      <c r="T3935" s="1396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>
      <c r="B3936" s="1390" t="s">
        <v>4622</v>
      </c>
      <c r="C3936" s="859" t="s">
        <v>3510</v>
      </c>
      <c r="D3936" s="1391">
        <v>46263.535034722219</v>
      </c>
      <c r="E3936" s="1392">
        <v>45.55</v>
      </c>
      <c r="F3936" s="583">
        <v>4.4999999999999998E-2</v>
      </c>
      <c r="G3936" s="1393">
        <f t="shared" si="154"/>
        <v>47.696335078534034</v>
      </c>
      <c r="H3936" s="1393" t="s">
        <v>150</v>
      </c>
      <c r="I3936" s="1394" t="s">
        <v>627</v>
      </c>
      <c r="J3936" s="1393">
        <v>11</v>
      </c>
      <c r="K3936" s="1393">
        <v>477</v>
      </c>
      <c r="L3936" s="1391">
        <f>INT(base[[#This Row],[Data de liquidação]])</f>
        <v>46263</v>
      </c>
      <c r="M3936" s="1393">
        <f>base[[#This Row],[L/P Bruto]]-base[[#This Row],[L/P Líquido]]</f>
        <v>2.1463350785340367</v>
      </c>
      <c r="N3936" s="1393">
        <f>base[[#This Row],[L/P Líquido]]/base[[#This Row],[Stake/Responsabilidade]]</f>
        <v>9.5492662473794537E-2</v>
      </c>
      <c r="O3936" s="1395">
        <f>IF(base[[#This Row],[L/P Líquido]]&gt;0,1,0)</f>
        <v>1</v>
      </c>
      <c r="P3936" s="1395"/>
      <c r="Q3936" s="1395" t="str">
        <f>LEFT(base[[#This Row],[Evento / Mercado]],FIND("vs",base[[#This Row],[Evento / Mercado]])-2)</f>
        <v>Celtic</v>
      </c>
      <c r="R393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395" t="str">
        <f>LEFT(base[[#This Row],[Evento / Mercado]],FIND("/",base[[#This Row],[Evento / Mercado]])-2)</f>
        <v>Celtic vs Falkirk</v>
      </c>
      <c r="T3936" s="1396">
        <f>base[[#This Row],[Data de liquidação]]</f>
        <v>46263.535034722219</v>
      </c>
    </row>
    <row r="3937" spans="2:20" ht="15" customHeight="1">
      <c r="B3937" s="1390" t="s">
        <v>4621</v>
      </c>
      <c r="C3937" s="859" t="s">
        <v>3510</v>
      </c>
      <c r="D3937" s="1391">
        <v>46263.544270833336</v>
      </c>
      <c r="E3937" s="1392">
        <v>9.65</v>
      </c>
      <c r="F3937" s="583">
        <v>4.4999999999999998E-2</v>
      </c>
      <c r="G3937" s="1393">
        <f t="shared" si="154"/>
        <v>10.104712041884818</v>
      </c>
      <c r="H3937" s="1365" t="s">
        <v>1644</v>
      </c>
      <c r="I3937" s="1394" t="s">
        <v>2272</v>
      </c>
      <c r="J3937" s="1393">
        <v>1.51</v>
      </c>
      <c r="K3937" s="1393">
        <v>20</v>
      </c>
      <c r="L3937" s="1391">
        <f>INT(base[[#This Row],[Data de liquidação]])</f>
        <v>46263</v>
      </c>
      <c r="M3937" s="1393">
        <f>base[[#This Row],[L/P Bruto]]-base[[#This Row],[L/P Líquido]]</f>
        <v>0.45471204188481806</v>
      </c>
      <c r="N3937" s="1393">
        <f>base[[#This Row],[L/P Líquido]]/base[[#This Row],[Stake/Responsabilidade]]</f>
        <v>0.48250000000000004</v>
      </c>
      <c r="O3937" s="1395">
        <f>IF(base[[#This Row],[L/P Líquido]]&gt;0,1,0)</f>
        <v>1</v>
      </c>
      <c r="P3937" s="1395"/>
      <c r="Q3937" s="1395" t="str">
        <f>LEFT(base[[#This Row],[Evento / Mercado]],FIND("vs",base[[#This Row],[Evento / Mercado]])-2)</f>
        <v>Alverca</v>
      </c>
      <c r="R393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395" t="str">
        <f>LEFT(base[[#This Row],[Evento / Mercado]],FIND("/",base[[#This Row],[Evento / Mercado]])-2)</f>
        <v>Alverca vs Santa Clara</v>
      </c>
      <c r="T3937" s="1396">
        <f>base[[#This Row],[Data de liquidação]]</f>
        <v>46263.544270833336</v>
      </c>
    </row>
    <row r="3938" spans="2:20" ht="15" customHeight="1">
      <c r="B3938" s="1390" t="s">
        <v>1659</v>
      </c>
      <c r="C3938" s="859" t="s">
        <v>3510</v>
      </c>
      <c r="D3938" s="1391">
        <v>46263.545243055552</v>
      </c>
      <c r="E3938" s="1392">
        <v>28.3</v>
      </c>
      <c r="F3938" s="583">
        <v>4.4999999999999998E-2</v>
      </c>
      <c r="G3938" s="1393">
        <f t="shared" si="154"/>
        <v>29.633507853403142</v>
      </c>
      <c r="H3938" s="1393" t="s">
        <v>3365</v>
      </c>
      <c r="I3938" s="1394" t="s">
        <v>391</v>
      </c>
      <c r="J3938" s="1393">
        <v>14.5</v>
      </c>
      <c r="K3938" s="1393">
        <v>400.01</v>
      </c>
      <c r="L3938" s="1391">
        <f>INT(base[[#This Row],[Data de liquidação]])</f>
        <v>46263</v>
      </c>
      <c r="M3938" s="1393">
        <f>base[[#This Row],[L/P Bruto]]-base[[#This Row],[L/P Líquido]]</f>
        <v>1.333507853403141</v>
      </c>
      <c r="N3938" s="1393">
        <f>base[[#This Row],[L/P Líquido]]/base[[#This Row],[Stake/Responsabilidade]]</f>
        <v>7.0748231294217645E-2</v>
      </c>
      <c r="O3938" s="1395">
        <f>IF(base[[#This Row],[L/P Líquido]]&gt;0,1,0)</f>
        <v>1</v>
      </c>
      <c r="P3938" s="1395" t="s">
        <v>1216</v>
      </c>
      <c r="Q3938" s="1395" t="str">
        <f>LEFT(base[[#This Row],[Evento / Mercado]],FIND("vs",base[[#This Row],[Evento / Mercado]])-2)</f>
        <v>Celtic</v>
      </c>
      <c r="R393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395" t="str">
        <f>LEFT(base[[#This Row],[Evento / Mercado]],FIND("/",base[[#This Row],[Evento / Mercado]])-2)</f>
        <v>Celtic vs Falkirk</v>
      </c>
      <c r="T3938" s="1396">
        <f>base[[#This Row],[Data de liquidação]]</f>
        <v>46263.545243055552</v>
      </c>
    </row>
    <row r="3939" spans="2:20" ht="15" customHeight="1">
      <c r="B3939" s="1390" t="s">
        <v>4620</v>
      </c>
      <c r="C3939" s="859" t="s">
        <v>3510</v>
      </c>
      <c r="D3939" s="1391">
        <v>46263.554363425923</v>
      </c>
      <c r="E3939" s="1392">
        <v>9.5500000000000007</v>
      </c>
      <c r="F3939" s="583">
        <v>4.4999999999999998E-2</v>
      </c>
      <c r="G3939" s="1393">
        <f t="shared" si="154"/>
        <v>10.000000000000002</v>
      </c>
      <c r="H3939" s="1365" t="s">
        <v>1644</v>
      </c>
      <c r="I3939" s="1394" t="s">
        <v>2272</v>
      </c>
      <c r="J3939" s="1393">
        <v>1.5</v>
      </c>
      <c r="K3939" s="1393">
        <v>20</v>
      </c>
      <c r="L3939" s="1391">
        <f>INT(base[[#This Row],[Data de liquidação]])</f>
        <v>46263</v>
      </c>
      <c r="M3939" s="1393">
        <f>base[[#This Row],[L/P Bruto]]-base[[#This Row],[L/P Líquido]]</f>
        <v>0.45000000000000107</v>
      </c>
      <c r="N3939" s="1393">
        <f>base[[#This Row],[L/P Líquido]]/base[[#This Row],[Stake/Responsabilidade]]</f>
        <v>0.47750000000000004</v>
      </c>
      <c r="O3939" s="1395">
        <f>IF(base[[#This Row],[L/P Líquido]]&gt;0,1,0)</f>
        <v>1</v>
      </c>
      <c r="P3939" s="1395"/>
      <c r="Q3939" s="1395" t="str">
        <f>LEFT(base[[#This Row],[Evento / Mercado]],FIND("vs",base[[#This Row],[Evento / Mercado]])-2)</f>
        <v>Sabadell</v>
      </c>
      <c r="R393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395" t="str">
        <f>LEFT(base[[#This Row],[Evento / Mercado]],FIND("/",base[[#This Row],[Evento / Mercado]])-2)</f>
        <v>Sabadell vs UD Almería</v>
      </c>
      <c r="T3939" s="1396">
        <f>base[[#This Row],[Data de liquidação]]</f>
        <v>46263.554363425923</v>
      </c>
    </row>
    <row r="3940" spans="2:20" ht="15" customHeight="1">
      <c r="B3940" s="1390" t="s">
        <v>4619</v>
      </c>
      <c r="C3940" s="859" t="s">
        <v>3510</v>
      </c>
      <c r="D3940" s="1391">
        <v>46263.600416666668</v>
      </c>
      <c r="E3940" s="1392">
        <v>10.38</v>
      </c>
      <c r="F3940" s="583">
        <v>4.4999999999999998E-2</v>
      </c>
      <c r="G3940" s="1393">
        <f t="shared" si="154"/>
        <v>10.869109947643981</v>
      </c>
      <c r="H3940" s="1365" t="s">
        <v>1644</v>
      </c>
      <c r="I3940" s="1394" t="s">
        <v>2272</v>
      </c>
      <c r="J3940" s="1393">
        <v>1.54</v>
      </c>
      <c r="K3940" s="1393">
        <v>20</v>
      </c>
      <c r="L3940" s="1391">
        <f>INT(base[[#This Row],[Data de liquidação]])</f>
        <v>46263</v>
      </c>
      <c r="M3940" s="1393">
        <f>base[[#This Row],[L/P Bruto]]-base[[#This Row],[L/P Líquido]]</f>
        <v>0.48910994764398019</v>
      </c>
      <c r="N3940" s="1393">
        <f>base[[#This Row],[L/P Líquido]]/base[[#This Row],[Stake/Responsabilidade]]</f>
        <v>0.51900000000000002</v>
      </c>
      <c r="O3940" s="1395">
        <f>IF(base[[#This Row],[L/P Líquido]]&gt;0,1,0)</f>
        <v>1</v>
      </c>
      <c r="P3940" s="1395"/>
      <c r="Q3940" s="1395" t="str">
        <f>LEFT(base[[#This Row],[Evento / Mercado]],FIND("vs",base[[#This Row],[Evento / Mercado]])-2)</f>
        <v>FC Arges Pitesti</v>
      </c>
      <c r="R394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395" t="str">
        <f>LEFT(base[[#This Row],[Evento / Mercado]],FIND("/",base[[#This Row],[Evento / Mercado]])-2)</f>
        <v>FC Arges Pitesti vs Sepsi OSK Sfantu Gheorghe</v>
      </c>
      <c r="T3940" s="1396">
        <f>base[[#This Row],[Data de liquidação]]</f>
        <v>46263.600416666668</v>
      </c>
    </row>
    <row r="3941" spans="2:20" ht="15" customHeight="1">
      <c r="B3941" s="1390" t="s">
        <v>4618</v>
      </c>
      <c r="C3941" s="859" t="s">
        <v>3510</v>
      </c>
      <c r="D3941" s="1391">
        <v>46263.639525462961</v>
      </c>
      <c r="E3941" s="1392">
        <v>-120</v>
      </c>
      <c r="F3941" s="583">
        <v>4.4999999999999998E-2</v>
      </c>
      <c r="G3941" s="1393">
        <f t="shared" si="154"/>
        <v>-120</v>
      </c>
      <c r="H3941" s="1372" t="s">
        <v>314</v>
      </c>
      <c r="I3941" s="1373" t="s">
        <v>349</v>
      </c>
      <c r="J3941" s="1393">
        <v>1.6</v>
      </c>
      <c r="K3941" s="1393">
        <v>120</v>
      </c>
      <c r="L3941" s="1391">
        <f>INT(base[[#This Row],[Data de liquidação]])</f>
        <v>46263</v>
      </c>
      <c r="M3941" s="1393">
        <f>base[[#This Row],[L/P Bruto]]-base[[#This Row],[L/P Líquido]]</f>
        <v>0</v>
      </c>
      <c r="N3941" s="1393">
        <f>base[[#This Row],[L/P Líquido]]/base[[#This Row],[Stake/Responsabilidade]]</f>
        <v>-1</v>
      </c>
      <c r="O3941" s="1395">
        <f>IF(base[[#This Row],[L/P Líquido]]&gt;0,1,0)</f>
        <v>0</v>
      </c>
      <c r="P3941" s="1395"/>
      <c r="Q3941" s="1395" t="str">
        <f>LEFT(base[[#This Row],[Evento / Mercado]],FIND("vs",base[[#This Row],[Evento / Mercado]])-2)</f>
        <v>Tottenham Hotspur</v>
      </c>
      <c r="R394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395" t="str">
        <f>LEFT(base[[#This Row],[Evento / Mercado]],FIND("/",base[[#This Row],[Evento / Mercado]])-2)</f>
        <v>Tottenham Hotspur vs Newcastle United</v>
      </c>
      <c r="T3941" s="1396">
        <f>base[[#This Row],[Data de liquidação]]</f>
        <v>46263.639525462961</v>
      </c>
    </row>
    <row r="3942" spans="2:20" ht="15" customHeight="1">
      <c r="B3942" s="1390" t="s">
        <v>4617</v>
      </c>
      <c r="C3942" s="859" t="s">
        <v>3510</v>
      </c>
      <c r="D3942" s="1391">
        <v>46263.641099537039</v>
      </c>
      <c r="E3942" s="1392">
        <v>41.41</v>
      </c>
      <c r="F3942" s="583">
        <v>4.4999999999999998E-2</v>
      </c>
      <c r="G3942" s="1393">
        <f t="shared" si="154"/>
        <v>43.361256544502616</v>
      </c>
      <c r="H3942" s="1393" t="s">
        <v>150</v>
      </c>
      <c r="I3942" s="1394" t="s">
        <v>627</v>
      </c>
      <c r="J3942" s="1393">
        <v>12</v>
      </c>
      <c r="K3942" s="1393">
        <v>476.96</v>
      </c>
      <c r="L3942" s="1391">
        <f>INT(base[[#This Row],[Data de liquidação]])</f>
        <v>46263</v>
      </c>
      <c r="M3942" s="1393">
        <f>base[[#This Row],[L/P Bruto]]-base[[#This Row],[L/P Líquido]]</f>
        <v>1.9512565445026198</v>
      </c>
      <c r="N3942" s="1393">
        <f>base[[#This Row],[L/P Líquido]]/base[[#This Row],[Stake/Responsabilidade]]</f>
        <v>8.6820697752432063E-2</v>
      </c>
      <c r="O3942" s="1395">
        <f>IF(base[[#This Row],[L/P Líquido]]&gt;0,1,0)</f>
        <v>1</v>
      </c>
      <c r="P3942" s="1395"/>
      <c r="Q3942" s="1395" t="str">
        <f>LEFT(base[[#This Row],[Evento / Mercado]],FIND("vs",base[[#This Row],[Evento / Mercado]])-2)</f>
        <v>Borussia Dortmund</v>
      </c>
      <c r="R394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395" t="str">
        <f>LEFT(base[[#This Row],[Evento / Mercado]],FIND("/",base[[#This Row],[Evento / Mercado]])-2)</f>
        <v>Borussia Dortmund vs Hamburger SV</v>
      </c>
      <c r="T3942" s="1396">
        <f>base[[#This Row],[Data de liquidação]]</f>
        <v>46263.641099537039</v>
      </c>
    </row>
    <row r="3943" spans="2:20" ht="15" customHeight="1">
      <c r="B3943" s="1390" t="s">
        <v>4616</v>
      </c>
      <c r="C3943" s="859" t="s">
        <v>3510</v>
      </c>
      <c r="D3943" s="1391">
        <v>46263.664571759262</v>
      </c>
      <c r="E3943" s="1392">
        <v>-413.04</v>
      </c>
      <c r="F3943" s="583">
        <v>4.4999999999999998E-2</v>
      </c>
      <c r="G3943" s="1393">
        <f t="shared" si="154"/>
        <v>-413.04</v>
      </c>
      <c r="H3943" s="1393" t="s">
        <v>74</v>
      </c>
      <c r="I3943" s="1394" t="s">
        <v>626</v>
      </c>
      <c r="J3943" s="1393">
        <v>25</v>
      </c>
      <c r="K3943" s="1393">
        <v>413.04</v>
      </c>
      <c r="L3943" s="1391">
        <f>INT(base[[#This Row],[Data de liquidação]])</f>
        <v>46263</v>
      </c>
      <c r="M3943" s="1393">
        <f>base[[#This Row],[L/P Bruto]]-base[[#This Row],[L/P Líquido]]</f>
        <v>0</v>
      </c>
      <c r="N3943" s="1393">
        <f>base[[#This Row],[L/P Líquido]]/base[[#This Row],[Stake/Responsabilidade]]</f>
        <v>-1</v>
      </c>
      <c r="O3943" s="1395">
        <f>IF(base[[#This Row],[L/P Líquido]]&gt;0,1,0)</f>
        <v>0</v>
      </c>
      <c r="P3943" s="1395" t="s">
        <v>3632</v>
      </c>
      <c r="Q3943" s="1395" t="str">
        <f>LEFT(base[[#This Row],[Evento / Mercado]],FIND("vs",base[[#This Row],[Evento / Mercado]])-2)</f>
        <v>ÍB Vestmannaeyja</v>
      </c>
      <c r="R394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395" t="str">
        <f>LEFT(base[[#This Row],[Evento / Mercado]],FIND("/",base[[#This Row],[Evento / Mercado]])-2)</f>
        <v>ÍB Vestmannaeyja vs Þór Akureyri</v>
      </c>
      <c r="T3943" s="1396">
        <f>base[[#This Row],[Data de liquidação]]</f>
        <v>46263.664571759262</v>
      </c>
    </row>
    <row r="3944" spans="2:20" ht="15" customHeight="1">
      <c r="B3944" s="1390" t="s">
        <v>4615</v>
      </c>
      <c r="C3944" s="859" t="s">
        <v>3510</v>
      </c>
      <c r="D3944" s="1391">
        <v>46263.667743055557</v>
      </c>
      <c r="E3944" s="1392">
        <v>30.42</v>
      </c>
      <c r="F3944" s="583">
        <v>4.4999999999999998E-2</v>
      </c>
      <c r="G3944" s="1393">
        <f t="shared" si="154"/>
        <v>31.853403141361259</v>
      </c>
      <c r="H3944" s="1393" t="s">
        <v>3365</v>
      </c>
      <c r="I3944" s="1394" t="s">
        <v>390</v>
      </c>
      <c r="J3944" s="1393">
        <v>14.5</v>
      </c>
      <c r="K3944" s="1393">
        <v>429.98</v>
      </c>
      <c r="L3944" s="1391">
        <f>INT(base[[#This Row],[Data de liquidação]])</f>
        <v>46263</v>
      </c>
      <c r="M3944" s="1393">
        <f>base[[#This Row],[L/P Bruto]]-base[[#This Row],[L/P Líquido]]</f>
        <v>1.4334031413612571</v>
      </c>
      <c r="N3944" s="1393">
        <f>base[[#This Row],[L/P Líquido]]/base[[#This Row],[Stake/Responsabilidade]]</f>
        <v>7.074747662681985E-2</v>
      </c>
      <c r="O3944" s="1395">
        <f>IF(base[[#This Row],[L/P Líquido]]&gt;0,1,0)</f>
        <v>1</v>
      </c>
      <c r="P3944" s="1397" t="s">
        <v>1202</v>
      </c>
      <c r="Q3944" s="1395" t="str">
        <f>LEFT(base[[#This Row],[Evento / Mercado]],FIND("vs",base[[#This Row],[Evento / Mercado]])-2)</f>
        <v>Académico de Viseu</v>
      </c>
      <c r="R394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395" t="str">
        <f>LEFT(base[[#This Row],[Evento / Mercado]],FIND("/",base[[#This Row],[Evento / Mercado]])-2)</f>
        <v>Académico de Viseu vs FC Porto</v>
      </c>
      <c r="T3944" s="1396">
        <f>base[[#This Row],[Data de liquidação]]</f>
        <v>46263.667743055557</v>
      </c>
    </row>
    <row r="3945" spans="2:20" ht="15" customHeight="1">
      <c r="B3945" s="1390" t="s">
        <v>4614</v>
      </c>
      <c r="C3945" s="859" t="s">
        <v>3510</v>
      </c>
      <c r="D3945" s="1391">
        <v>46263.700486111113</v>
      </c>
      <c r="E3945" s="1392">
        <v>0.49</v>
      </c>
      <c r="F3945" s="583">
        <v>4.4999999999999998E-2</v>
      </c>
      <c r="G3945" s="1393">
        <f t="shared" si="154"/>
        <v>0.51308900523560208</v>
      </c>
      <c r="H3945" s="1365" t="s">
        <v>1644</v>
      </c>
      <c r="I3945" s="1387" t="s">
        <v>3291</v>
      </c>
      <c r="J3945" s="1393">
        <v>1.26</v>
      </c>
      <c r="K3945" s="1393">
        <v>2</v>
      </c>
      <c r="L3945" s="1391">
        <f>INT(base[[#This Row],[Data de liquidação]])</f>
        <v>46263</v>
      </c>
      <c r="M3945" s="1393">
        <f>base[[#This Row],[L/P Bruto]]-base[[#This Row],[L/P Líquido]]</f>
        <v>2.3089005235602089E-2</v>
      </c>
      <c r="N3945" s="1393">
        <f>base[[#This Row],[L/P Líquido]]/base[[#This Row],[Stake/Responsabilidade]]</f>
        <v>0.245</v>
      </c>
      <c r="O3945" s="1395">
        <f>IF(base[[#This Row],[L/P Líquido]]&gt;0,1,0)</f>
        <v>1</v>
      </c>
      <c r="P3945" s="1395"/>
      <c r="Q3945" s="1395" t="str">
        <f>LEFT(base[[#This Row],[Evento / Mercado]],FIND("vs",base[[#This Row],[Evento / Mercado]])-2)</f>
        <v>Galatasaray SK</v>
      </c>
      <c r="R394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395" t="str">
        <f>LEFT(base[[#This Row],[Evento / Mercado]],FIND("/",base[[#This Row],[Evento / Mercado]])-2)</f>
        <v>Galatasaray SK vs Göztepe</v>
      </c>
      <c r="T3945" s="1396">
        <f>base[[#This Row],[Data de liquidação]]</f>
        <v>46263.700486111113</v>
      </c>
    </row>
    <row r="3946" spans="2:20" ht="15" customHeight="1">
      <c r="B3946" s="1390" t="s">
        <v>4613</v>
      </c>
      <c r="C3946" s="859" t="s">
        <v>3510</v>
      </c>
      <c r="D3946" s="1391">
        <v>46263.704375000001</v>
      </c>
      <c r="E3946" s="1392">
        <v>6.37</v>
      </c>
      <c r="F3946" s="583">
        <v>4.4999999999999998E-2</v>
      </c>
      <c r="G3946" s="1393">
        <f t="shared" si="154"/>
        <v>6.6701570680628279</v>
      </c>
      <c r="H3946" s="1365" t="s">
        <v>1644</v>
      </c>
      <c r="I3946" s="1433" t="s">
        <v>4682</v>
      </c>
      <c r="J3946" s="1393">
        <v>11</v>
      </c>
      <c r="K3946" s="1393">
        <v>66.7</v>
      </c>
      <c r="L3946" s="1391">
        <f>INT(base[[#This Row],[Data de liquidação]])</f>
        <v>46263</v>
      </c>
      <c r="M3946" s="1393">
        <f>base[[#This Row],[L/P Bruto]]-base[[#This Row],[L/P Líquido]]</f>
        <v>0.30015706806282783</v>
      </c>
      <c r="N3946" s="1393">
        <f>base[[#This Row],[L/P Líquido]]/base[[#This Row],[Stake/Responsabilidade]]</f>
        <v>9.5502248875562218E-2</v>
      </c>
      <c r="O3946" s="1395">
        <f>IF(base[[#This Row],[L/P Líquido]]&gt;0,1,0)</f>
        <v>1</v>
      </c>
      <c r="P3946" s="1395"/>
      <c r="Q3946" s="1395" t="str">
        <f>LEFT(base[[#This Row],[Evento / Mercado]],FIND("vs",base[[#This Row],[Evento / Mercado]])-2)</f>
        <v>Al-Fateh Al-Hasa</v>
      </c>
      <c r="R394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395" t="str">
        <f>LEFT(base[[#This Row],[Evento / Mercado]],FIND("/",base[[#This Row],[Evento / Mercado]])-2)</f>
        <v>Al-Fateh Al-Hasa vs Al-Ittihad Jeddah</v>
      </c>
      <c r="T3946" s="1396">
        <f>base[[#This Row],[Data de liquidação]]</f>
        <v>46263.704375000001</v>
      </c>
    </row>
    <row r="3947" spans="2:20" ht="15" customHeight="1">
      <c r="B3947" s="1390" t="s">
        <v>4612</v>
      </c>
      <c r="C3947" s="859" t="s">
        <v>3510</v>
      </c>
      <c r="D3947" s="1391">
        <v>46263.72934027778</v>
      </c>
      <c r="E3947" s="1392">
        <v>36.61</v>
      </c>
      <c r="F3947" s="583">
        <v>4.4999999999999998E-2</v>
      </c>
      <c r="G3947" s="1393">
        <f t="shared" si="154"/>
        <v>38.335078534031418</v>
      </c>
      <c r="H3947" s="1393" t="s">
        <v>3365</v>
      </c>
      <c r="I3947" s="1394" t="s">
        <v>391</v>
      </c>
      <c r="J3947" s="1393">
        <v>13</v>
      </c>
      <c r="K3947" s="1393">
        <v>459.96</v>
      </c>
      <c r="L3947" s="1391">
        <f>INT(base[[#This Row],[Data de liquidação]])</f>
        <v>46263</v>
      </c>
      <c r="M3947" s="1393">
        <f>base[[#This Row],[L/P Bruto]]-base[[#This Row],[L/P Líquido]]</f>
        <v>1.7250785340314181</v>
      </c>
      <c r="N3947" s="1393">
        <f>base[[#This Row],[L/P Líquido]]/base[[#This Row],[Stake/Responsabilidade]]</f>
        <v>7.959387772849813E-2</v>
      </c>
      <c r="O3947" s="1395">
        <f>IF(base[[#This Row],[L/P Líquido]]&gt;0,1,0)</f>
        <v>1</v>
      </c>
      <c r="P3947" s="1395" t="s">
        <v>1203</v>
      </c>
      <c r="Q3947" s="1395" t="str">
        <f>LEFT(base[[#This Row],[Evento / Mercado]],FIND("vs",base[[#This Row],[Evento / Mercado]])-2)</f>
        <v>Galatasaray SK</v>
      </c>
      <c r="R394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395" t="str">
        <f>LEFT(base[[#This Row],[Evento / Mercado]],FIND("/",base[[#This Row],[Evento / Mercado]])-2)</f>
        <v>Galatasaray SK vs Göztepe</v>
      </c>
      <c r="T3947" s="1396">
        <f>base[[#This Row],[Data de liquidação]]</f>
        <v>46263.72934027778</v>
      </c>
    </row>
    <row r="3948" spans="2:20" ht="15" customHeight="1">
      <c r="B3948" s="1390" t="s">
        <v>4611</v>
      </c>
      <c r="C3948" s="859" t="s">
        <v>3510</v>
      </c>
      <c r="D3948" s="1391">
        <v>46263.734375</v>
      </c>
      <c r="E3948" s="1392">
        <v>1.57</v>
      </c>
      <c r="F3948" s="583">
        <v>4.4999999999999998E-2</v>
      </c>
      <c r="G3948" s="1393">
        <f t="shared" si="154"/>
        <v>1.6439790575916231</v>
      </c>
      <c r="H3948" s="1365" t="s">
        <v>1644</v>
      </c>
      <c r="I3948" s="1387" t="s">
        <v>3291</v>
      </c>
      <c r="J3948" s="1393">
        <v>1.82</v>
      </c>
      <c r="K3948" s="1393">
        <v>2</v>
      </c>
      <c r="L3948" s="1391">
        <f>INT(base[[#This Row],[Data de liquidação]])</f>
        <v>46263</v>
      </c>
      <c r="M3948" s="1393">
        <f>base[[#This Row],[L/P Bruto]]-base[[#This Row],[L/P Líquido]]</f>
        <v>7.3979057591623043E-2</v>
      </c>
      <c r="N3948" s="1393">
        <f>base[[#This Row],[L/P Líquido]]/base[[#This Row],[Stake/Responsabilidade]]</f>
        <v>0.78500000000000003</v>
      </c>
      <c r="O3948" s="1395">
        <f>IF(base[[#This Row],[L/P Líquido]]&gt;0,1,0)</f>
        <v>1</v>
      </c>
      <c r="P3948" s="1395"/>
      <c r="Q3948" s="1395" t="str">
        <f>LEFT(base[[#This Row],[Evento / Mercado]],FIND("vs",base[[#This Row],[Evento / Mercado]])-2)</f>
        <v>SC União Torreense</v>
      </c>
      <c r="R394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395" t="str">
        <f>LEFT(base[[#This Row],[Evento / Mercado]],FIND("/",base[[#This Row],[Evento / Mercado]])-2)</f>
        <v>SC União Torreense vs Vizela</v>
      </c>
      <c r="T3948" s="1396">
        <f>base[[#This Row],[Data de liquidação]]</f>
        <v>46263.734375</v>
      </c>
    </row>
    <row r="3949" spans="2:20" ht="15" customHeight="1">
      <c r="B3949" s="1398" t="s">
        <v>4664</v>
      </c>
      <c r="C3949" s="859" t="s">
        <v>3510</v>
      </c>
      <c r="D3949" s="1399">
        <v>46263.849641203706</v>
      </c>
      <c r="E3949" s="1400">
        <v>31.67</v>
      </c>
      <c r="F3949" s="583">
        <v>4.4999999999999998E-2</v>
      </c>
      <c r="G3949" s="1401">
        <f t="shared" ref="G3949:G3984" si="157">IF(E3949&gt;0,E3949/(1-F3949),E3949)</f>
        <v>33.162303664921467</v>
      </c>
      <c r="H3949" s="1434" t="s">
        <v>4683</v>
      </c>
      <c r="I3949" s="1402" t="s">
        <v>626</v>
      </c>
      <c r="J3949" s="1401">
        <f>(12.5*300.04+15*98.97)/base[[#This Row],[Stake/Responsabilidade]]</f>
        <v>13.120097240670662</v>
      </c>
      <c r="K3949" s="1401">
        <f>300.04+98.97</f>
        <v>399.01</v>
      </c>
      <c r="L3949" s="1399">
        <f>INT(base[[#This Row],[Data de liquidação]])</f>
        <v>46263</v>
      </c>
      <c r="M3949" s="1401">
        <f>base[[#This Row],[L/P Bruto]]-base[[#This Row],[L/P Líquido]]</f>
        <v>1.4923036649214652</v>
      </c>
      <c r="N3949" s="1401">
        <f>base[[#This Row],[L/P Líquido]]/base[[#This Row],[Stake/Responsabilidade]]</f>
        <v>7.9371444324703652E-2</v>
      </c>
      <c r="O3949" s="1403">
        <f>IF(base[[#This Row],[L/P Líquido]]&gt;0,1,0)</f>
        <v>1</v>
      </c>
      <c r="P3949" s="1403"/>
      <c r="Q3949" s="1403" t="str">
        <f>LEFT(base[[#This Row],[Evento / Mercado]],FIND("vs",base[[#This Row],[Evento / Mercado]])-2)</f>
        <v>Atlético Mineiro</v>
      </c>
      <c r="R394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03" t="str">
        <f>LEFT(base[[#This Row],[Evento / Mercado]],FIND("/",base[[#This Row],[Evento / Mercado]])-2)</f>
        <v>Atlético Mineiro vs EC Vitória</v>
      </c>
      <c r="T3949" s="1404">
        <f>base[[#This Row],[Data de liquidação]]</f>
        <v>46263.849641203706</v>
      </c>
    </row>
    <row r="3950" spans="2:20" ht="15" customHeight="1">
      <c r="B3950" s="1398" t="s">
        <v>4663</v>
      </c>
      <c r="C3950" s="859" t="s">
        <v>3510</v>
      </c>
      <c r="D3950" s="1399">
        <v>46263.940324074072</v>
      </c>
      <c r="E3950" s="1400">
        <v>7.59</v>
      </c>
      <c r="F3950" s="583">
        <v>4.4999999999999998E-2</v>
      </c>
      <c r="G3950" s="1401">
        <f t="shared" si="157"/>
        <v>7.9476439790575917</v>
      </c>
      <c r="H3950" s="1365" t="s">
        <v>1644</v>
      </c>
      <c r="I3950" s="1433" t="s">
        <v>4682</v>
      </c>
      <c r="J3950" s="1401">
        <v>9.8000000000000007</v>
      </c>
      <c r="K3950" s="1401">
        <v>69.959999999999994</v>
      </c>
      <c r="L3950" s="1399">
        <f>INT(base[[#This Row],[Data de liquidação]])</f>
        <v>46263</v>
      </c>
      <c r="M3950" s="1401">
        <f>base[[#This Row],[L/P Bruto]]-base[[#This Row],[L/P Líquido]]</f>
        <v>0.35764397905759182</v>
      </c>
      <c r="N3950" s="1401">
        <f>base[[#This Row],[L/P Líquido]]/base[[#This Row],[Stake/Responsabilidade]]</f>
        <v>0.10849056603773585</v>
      </c>
      <c r="O3950" s="1403">
        <f>IF(base[[#This Row],[L/P Líquido]]&gt;0,1,0)</f>
        <v>1</v>
      </c>
      <c r="P3950" s="1403"/>
      <c r="Q3950" s="1403" t="str">
        <f>LEFT(base[[#This Row],[Evento / Mercado]],FIND("vs",base[[#This Row],[Evento / Mercado]])-2)</f>
        <v>DC United</v>
      </c>
      <c r="R395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03" t="str">
        <f>LEFT(base[[#This Row],[Evento / Mercado]],FIND("/",base[[#This Row],[Evento / Mercado]])-2)</f>
        <v>DC United vs Los Angeles FC</v>
      </c>
      <c r="T3950" s="1404">
        <f>base[[#This Row],[Data de liquidação]]</f>
        <v>46263.940324074072</v>
      </c>
    </row>
    <row r="3951" spans="2:20" ht="15" customHeight="1">
      <c r="B3951" s="1398" t="s">
        <v>4662</v>
      </c>
      <c r="C3951" s="859" t="s">
        <v>3510</v>
      </c>
      <c r="D3951" s="1399">
        <v>46263.942754629628</v>
      </c>
      <c r="E3951" s="1400">
        <v>7.24</v>
      </c>
      <c r="F3951" s="583">
        <v>4.4999999999999998E-2</v>
      </c>
      <c r="G3951" s="1401">
        <f t="shared" si="157"/>
        <v>7.5811518324607334</v>
      </c>
      <c r="H3951" s="1401" t="s">
        <v>3292</v>
      </c>
      <c r="I3951" s="1402" t="s">
        <v>626</v>
      </c>
      <c r="J3951" s="1401">
        <v>60</v>
      </c>
      <c r="K3951" s="1401">
        <v>447.22</v>
      </c>
      <c r="L3951" s="1399">
        <f>INT(base[[#This Row],[Data de liquidação]])</f>
        <v>46263</v>
      </c>
      <c r="M3951" s="1401">
        <f>base[[#This Row],[L/P Bruto]]-base[[#This Row],[L/P Líquido]]</f>
        <v>0.34115183246073322</v>
      </c>
      <c r="N3951" s="1401">
        <f>base[[#This Row],[L/P Líquido]]/base[[#This Row],[Stake/Responsabilidade]]</f>
        <v>1.6188900317517105E-2</v>
      </c>
      <c r="O3951" s="1403">
        <f>IF(base[[#This Row],[L/P Líquido]]&gt;0,1,0)</f>
        <v>1</v>
      </c>
      <c r="P3951" s="1403"/>
      <c r="Q3951" s="1403" t="str">
        <f>LEFT(base[[#This Row],[Evento / Mercado]],FIND("vs",base[[#This Row],[Evento / Mercado]])-2)</f>
        <v>Inter Miami CF</v>
      </c>
      <c r="R395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03" t="str">
        <f>LEFT(base[[#This Row],[Evento / Mercado]],FIND("/",base[[#This Row],[Evento / Mercado]])-2)</f>
        <v>Inter Miami CF vs CF Montreal</v>
      </c>
      <c r="T3951" s="1404">
        <f>base[[#This Row],[Data de liquidação]]</f>
        <v>46263.942754629628</v>
      </c>
    </row>
    <row r="3952" spans="2:20" ht="15" customHeight="1">
      <c r="B3952" s="1398" t="s">
        <v>4661</v>
      </c>
      <c r="C3952" s="859" t="s">
        <v>3510</v>
      </c>
      <c r="D3952" s="1399">
        <v>46263.97824074074</v>
      </c>
      <c r="E3952" s="1400">
        <v>-277.29000000000002</v>
      </c>
      <c r="F3952" s="583">
        <v>4.4999999999999998E-2</v>
      </c>
      <c r="G3952" s="1401">
        <f t="shared" si="157"/>
        <v>-277.29000000000002</v>
      </c>
      <c r="H3952" s="1401" t="s">
        <v>4315</v>
      </c>
      <c r="I3952" s="1402"/>
      <c r="J3952" s="1401">
        <v>14</v>
      </c>
      <c r="K3952" s="1401">
        <v>277.29000000000002</v>
      </c>
      <c r="L3952" s="1399">
        <f>INT(base[[#This Row],[Data de liquidação]])</f>
        <v>46263</v>
      </c>
      <c r="M3952" s="1401">
        <f>base[[#This Row],[L/P Bruto]]-base[[#This Row],[L/P Líquido]]</f>
        <v>0</v>
      </c>
      <c r="N3952" s="1401">
        <f>base[[#This Row],[L/P Líquido]]/base[[#This Row],[Stake/Responsabilidade]]</f>
        <v>-1</v>
      </c>
      <c r="O3952" s="1403">
        <f>IF(base[[#This Row],[L/P Líquido]]&gt;0,1,0)</f>
        <v>0</v>
      </c>
      <c r="P3952" s="1403"/>
      <c r="Q3952" s="1403" t="str">
        <f>LEFT(base[[#This Row],[Evento / Mercado]],FIND("vs",base[[#This Row],[Evento / Mercado]])-2)</f>
        <v>Alianza Lima</v>
      </c>
      <c r="R395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03" t="str">
        <f>LEFT(base[[#This Row],[Evento / Mercado]],FIND("/",base[[#This Row],[Evento / Mercado]])-2)</f>
        <v>Alianza Lima vs Deportivo Garcilaso</v>
      </c>
      <c r="T3952" s="1404">
        <f>base[[#This Row],[Data de liquidação]]</f>
        <v>46263.97824074074</v>
      </c>
    </row>
    <row r="3953" spans="2:22" ht="15" customHeight="1">
      <c r="B3953" s="1398" t="s">
        <v>4660</v>
      </c>
      <c r="C3953" s="859" t="s">
        <v>3510</v>
      </c>
      <c r="D3953" s="1399">
        <v>46263.978275462963</v>
      </c>
      <c r="E3953" s="1400">
        <v>-2</v>
      </c>
      <c r="F3953" s="583">
        <v>4.4999999999999998E-2</v>
      </c>
      <c r="G3953" s="1401">
        <f t="shared" si="157"/>
        <v>-2</v>
      </c>
      <c r="H3953" s="1365" t="s">
        <v>1644</v>
      </c>
      <c r="I3953" s="1387" t="s">
        <v>3291</v>
      </c>
      <c r="J3953" s="1401">
        <v>1.62</v>
      </c>
      <c r="K3953" s="1401">
        <v>2</v>
      </c>
      <c r="L3953" s="1399">
        <f>INT(base[[#This Row],[Data de liquidação]])</f>
        <v>46263</v>
      </c>
      <c r="M3953" s="1401">
        <f>base[[#This Row],[L/P Bruto]]-base[[#This Row],[L/P Líquido]]</f>
        <v>0</v>
      </c>
      <c r="N3953" s="1401">
        <f>base[[#This Row],[L/P Líquido]]/base[[#This Row],[Stake/Responsabilidade]]</f>
        <v>-1</v>
      </c>
      <c r="O3953" s="1403">
        <f>IF(base[[#This Row],[L/P Líquido]]&gt;0,1,0)</f>
        <v>0</v>
      </c>
      <c r="P3953" s="1403"/>
      <c r="Q3953" s="1403" t="str">
        <f>LEFT(base[[#This Row],[Evento / Mercado]],FIND("vs",base[[#This Row],[Evento / Mercado]])-2)</f>
        <v>Alianza Lima</v>
      </c>
      <c r="R395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03" t="str">
        <f>LEFT(base[[#This Row],[Evento / Mercado]],FIND("/",base[[#This Row],[Evento / Mercado]])-2)</f>
        <v>Alianza Lima vs Deportivo Garcilaso</v>
      </c>
      <c r="T3953" s="1404">
        <f>base[[#This Row],[Data de liquidação]]</f>
        <v>46263.978275462963</v>
      </c>
    </row>
    <row r="3954" spans="2:22" ht="15" customHeight="1">
      <c r="B3954" s="1398" t="s">
        <v>4659</v>
      </c>
      <c r="C3954" s="859" t="s">
        <v>3510</v>
      </c>
      <c r="D3954" s="1399">
        <v>46263.98605324074</v>
      </c>
      <c r="E3954" s="1400">
        <v>46.4</v>
      </c>
      <c r="F3954" s="583">
        <v>4.4999999999999998E-2</v>
      </c>
      <c r="G3954" s="1401">
        <f t="shared" si="157"/>
        <v>48.586387434554972</v>
      </c>
      <c r="H3954" s="1434" t="s">
        <v>4683</v>
      </c>
      <c r="I3954" s="1402" t="s">
        <v>626</v>
      </c>
      <c r="J3954" s="1401">
        <f>(9.8*29.3+9.82*399.14)/base[[#This Row],[Stake/Responsabilidade]]</f>
        <v>9.8186322472224816</v>
      </c>
      <c r="K3954" s="1401">
        <f>399.14+29.3</f>
        <v>428.44</v>
      </c>
      <c r="L3954" s="1399">
        <f>INT(base[[#This Row],[Data de liquidação]])</f>
        <v>46263</v>
      </c>
      <c r="M3954" s="1401">
        <f>base[[#This Row],[L/P Bruto]]-base[[#This Row],[L/P Líquido]]</f>
        <v>2.1863874345549732</v>
      </c>
      <c r="N3954" s="1401">
        <f>base[[#This Row],[L/P Líquido]]/base[[#This Row],[Stake/Responsabilidade]]</f>
        <v>0.10829987862944636</v>
      </c>
      <c r="O3954" s="1403">
        <f>IF(base[[#This Row],[L/P Líquido]]&gt;0,1,0)</f>
        <v>1</v>
      </c>
      <c r="P3954" s="1403"/>
      <c r="Q3954" s="1403" t="str">
        <f>LEFT(base[[#This Row],[Evento / Mercado]],FIND("vs",base[[#This Row],[Evento / Mercado]])-2)</f>
        <v>Houston Dynamo</v>
      </c>
      <c r="R395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03" t="str">
        <f>LEFT(base[[#This Row],[Evento / Mercado]],FIND("/",base[[#This Row],[Evento / Mercado]])-2)</f>
        <v>Houston Dynamo vs San Jose Earthquakes</v>
      </c>
      <c r="T3954" s="1404">
        <f>base[[#This Row],[Data de liquidação]]</f>
        <v>46263.98605324074</v>
      </c>
    </row>
    <row r="3955" spans="2:22" ht="15" customHeight="1">
      <c r="B3955" s="1398" t="s">
        <v>4658</v>
      </c>
      <c r="C3955" s="859" t="s">
        <v>3510</v>
      </c>
      <c r="D3955" s="1399">
        <v>46263.986226851855</v>
      </c>
      <c r="E3955" s="1400">
        <v>31.59</v>
      </c>
      <c r="F3955" s="583">
        <v>4.4999999999999998E-2</v>
      </c>
      <c r="G3955" s="1401">
        <f t="shared" si="157"/>
        <v>33.078534031413611</v>
      </c>
      <c r="H3955" s="1434" t="s">
        <v>4683</v>
      </c>
      <c r="I3955" s="1402" t="s">
        <v>626</v>
      </c>
      <c r="J3955" s="1401">
        <v>14</v>
      </c>
      <c r="K3955" s="1401">
        <v>430.04</v>
      </c>
      <c r="L3955" s="1399">
        <f>INT(base[[#This Row],[Data de liquidação]])</f>
        <v>46263</v>
      </c>
      <c r="M3955" s="1401">
        <f>base[[#This Row],[L/P Bruto]]-base[[#This Row],[L/P Líquido]]</f>
        <v>1.4885340314136108</v>
      </c>
      <c r="N3955" s="1401">
        <f>base[[#This Row],[L/P Líquido]]/base[[#This Row],[Stake/Responsabilidade]]</f>
        <v>7.3458282950423212E-2</v>
      </c>
      <c r="O3955" s="1403">
        <f>IF(base[[#This Row],[L/P Líquido]]&gt;0,1,0)</f>
        <v>1</v>
      </c>
      <c r="P3955" s="1403"/>
      <c r="Q3955" s="1403" t="str">
        <f>LEFT(base[[#This Row],[Evento / Mercado]],FIND("vs",base[[#This Row],[Evento / Mercado]])-2)</f>
        <v>Nashville Soccer Club</v>
      </c>
      <c r="R395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03" t="str">
        <f>LEFT(base[[#This Row],[Evento / Mercado]],FIND("/",base[[#This Row],[Evento / Mercado]])-2)</f>
        <v>Nashville Soccer Club vs FC Cincinnati</v>
      </c>
      <c r="T3955" s="1404">
        <f>base[[#This Row],[Data de liquidação]]</f>
        <v>46263.986226851855</v>
      </c>
    </row>
    <row r="3956" spans="2:22" ht="15" customHeight="1">
      <c r="B3956" s="1398" t="s">
        <v>4657</v>
      </c>
      <c r="C3956" s="859" t="s">
        <v>3510</v>
      </c>
      <c r="D3956" s="1399">
        <v>46264.067847222221</v>
      </c>
      <c r="E3956" s="1400">
        <v>16.05</v>
      </c>
      <c r="F3956" s="583">
        <v>4.4999999999999998E-2</v>
      </c>
      <c r="G3956" s="1401">
        <f t="shared" si="157"/>
        <v>16.806282722513089</v>
      </c>
      <c r="H3956" s="1401" t="s">
        <v>3292</v>
      </c>
      <c r="I3956" s="1402" t="s">
        <v>626</v>
      </c>
      <c r="J3956" s="1401">
        <v>28</v>
      </c>
      <c r="K3956" s="1401">
        <v>453.87</v>
      </c>
      <c r="L3956" s="1399">
        <f>INT(base[[#This Row],[Data de liquidação]])</f>
        <v>46264</v>
      </c>
      <c r="M3956" s="1401">
        <f>base[[#This Row],[L/P Bruto]]-base[[#This Row],[L/P Líquido]]</f>
        <v>0.75628272251308815</v>
      </c>
      <c r="N3956" s="1401">
        <f>base[[#This Row],[L/P Líquido]]/base[[#This Row],[Stake/Responsabilidade]]</f>
        <v>3.5362548747438695E-2</v>
      </c>
      <c r="O3956" s="1403">
        <f>IF(base[[#This Row],[L/P Líquido]]&gt;0,1,0)</f>
        <v>1</v>
      </c>
      <c r="P3956" s="1403"/>
      <c r="Q3956" s="1403" t="str">
        <f>LEFT(base[[#This Row],[Evento / Mercado]],FIND("vs",base[[#This Row],[Evento / Mercado]])-2)</f>
        <v>San Diego FC</v>
      </c>
      <c r="R395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03" t="str">
        <f>LEFT(base[[#This Row],[Evento / Mercado]],FIND("/",base[[#This Row],[Evento / Mercado]])-2)</f>
        <v>San Diego FC vs Los Angeles Galaxy</v>
      </c>
      <c r="T3956" s="1404">
        <f>base[[#This Row],[Data de liquidação]]</f>
        <v>46264.067847222221</v>
      </c>
    </row>
    <row r="3957" spans="2:22" ht="15" customHeight="1">
      <c r="B3957" s="1398" t="s">
        <v>4656</v>
      </c>
      <c r="C3957" s="859" t="s">
        <v>3510</v>
      </c>
      <c r="D3957" s="1399">
        <v>46264.411481481482</v>
      </c>
      <c r="E3957" s="1400">
        <v>7.59</v>
      </c>
      <c r="F3957" s="583">
        <v>4.4999999999999998E-2</v>
      </c>
      <c r="G3957" s="1401">
        <f t="shared" si="157"/>
        <v>7.9476439790575917</v>
      </c>
      <c r="H3957" s="1365" t="s">
        <v>1644</v>
      </c>
      <c r="I3957" s="1433" t="s">
        <v>4682</v>
      </c>
      <c r="J3957" s="1401">
        <v>9.8000000000000007</v>
      </c>
      <c r="K3957" s="1401">
        <v>69.959999999999994</v>
      </c>
      <c r="L3957" s="1399">
        <f>INT(base[[#This Row],[Data de liquidação]])</f>
        <v>46264</v>
      </c>
      <c r="M3957" s="1401">
        <f>base[[#This Row],[L/P Bruto]]-base[[#This Row],[L/P Líquido]]</f>
        <v>0.35764397905759182</v>
      </c>
      <c r="N3957" s="1401">
        <f>base[[#This Row],[L/P Líquido]]/base[[#This Row],[Stake/Responsabilidade]]</f>
        <v>0.10849056603773585</v>
      </c>
      <c r="O3957" s="1403">
        <f>IF(base[[#This Row],[L/P Líquido]]&gt;0,1,0)</f>
        <v>1</v>
      </c>
      <c r="P3957" s="1403"/>
      <c r="Q3957" s="1403" t="str">
        <f>LEFT(base[[#This Row],[Evento / Mercado]],FIND("vs",base[[#This Row],[Evento / Mercado]])-2)</f>
        <v>Aberdeen</v>
      </c>
      <c r="R395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03" t="str">
        <f>LEFT(base[[#This Row],[Evento / Mercado]],FIND("/",base[[#This Row],[Evento / Mercado]])-2)</f>
        <v>Aberdeen vs Rangers</v>
      </c>
      <c r="T3957" s="1404">
        <f>base[[#This Row],[Data de liquidação]]</f>
        <v>46264.411481481482</v>
      </c>
    </row>
    <row r="3958" spans="2:22" ht="15" customHeight="1">
      <c r="B3958" s="1398" t="s">
        <v>4655</v>
      </c>
      <c r="C3958" s="859" t="s">
        <v>3510</v>
      </c>
      <c r="D3958" s="1399">
        <v>46264.432916666665</v>
      </c>
      <c r="E3958" s="1400">
        <v>36.82</v>
      </c>
      <c r="F3958" s="583">
        <v>4.4999999999999998E-2</v>
      </c>
      <c r="G3958" s="1401">
        <f t="shared" si="157"/>
        <v>38.554973821989527</v>
      </c>
      <c r="H3958" s="1434" t="s">
        <v>4683</v>
      </c>
      <c r="I3958" s="1402" t="s">
        <v>693</v>
      </c>
      <c r="J3958" s="1401">
        <f>(14*(390+30.03)+17*100)/base[[#This Row],[Stake/Responsabilidade]]</f>
        <v>14.576889794819531</v>
      </c>
      <c r="K3958" s="1401">
        <f>390+100+30.03</f>
        <v>520.03</v>
      </c>
      <c r="L3958" s="1399">
        <f>INT(base[[#This Row],[Data de liquidação]])</f>
        <v>46264</v>
      </c>
      <c r="M3958" s="1401">
        <f>base[[#This Row],[L/P Bruto]]-base[[#This Row],[L/P Líquido]]</f>
        <v>1.7349738219895272</v>
      </c>
      <c r="N3958" s="1401">
        <f>base[[#This Row],[L/P Líquido]]/base[[#This Row],[Stake/Responsabilidade]]</f>
        <v>7.0803607484183614E-2</v>
      </c>
      <c r="O3958" s="1403">
        <f>IF(base[[#This Row],[L/P Líquido]]&gt;0,1,0)</f>
        <v>1</v>
      </c>
      <c r="P3958" s="1403"/>
      <c r="Q3958" s="1403" t="str">
        <f>LEFT(base[[#This Row],[Evento / Mercado]],FIND("vs",base[[#This Row],[Evento / Mercado]])-2)</f>
        <v>KAA Gent</v>
      </c>
      <c r="R395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03" t="str">
        <f>LEFT(base[[#This Row],[Evento / Mercado]],FIND("/",base[[#This Row],[Evento / Mercado]])-2)</f>
        <v>KAA Gent vs Club Brugge</v>
      </c>
      <c r="T3958" s="1404">
        <f>base[[#This Row],[Data de liquidação]]</f>
        <v>46264.432916666665</v>
      </c>
    </row>
    <row r="3959" spans="2:22" ht="15" customHeight="1">
      <c r="B3959" s="1398" t="s">
        <v>4654</v>
      </c>
      <c r="C3959" s="859" t="s">
        <v>3510</v>
      </c>
      <c r="D3959" s="1399">
        <v>46264.442511574074</v>
      </c>
      <c r="E3959" s="1400">
        <v>0.93</v>
      </c>
      <c r="F3959" s="583">
        <v>4.4999999999999998E-2</v>
      </c>
      <c r="G3959" s="1401">
        <f t="shared" si="157"/>
        <v>0.97382198952879595</v>
      </c>
      <c r="H3959" s="1365" t="s">
        <v>1644</v>
      </c>
      <c r="I3959" s="1387" t="s">
        <v>3291</v>
      </c>
      <c r="J3959" s="1401">
        <v>1.49</v>
      </c>
      <c r="K3959" s="1401">
        <v>2</v>
      </c>
      <c r="L3959" s="1399">
        <f>INT(base[[#This Row],[Data de liquidação]])</f>
        <v>46264</v>
      </c>
      <c r="M3959" s="1401">
        <f>base[[#This Row],[L/P Bruto]]-base[[#This Row],[L/P Líquido]]</f>
        <v>4.3821989528795902E-2</v>
      </c>
      <c r="N3959" s="1401">
        <f>base[[#This Row],[L/P Líquido]]/base[[#This Row],[Stake/Responsabilidade]]</f>
        <v>0.46500000000000002</v>
      </c>
      <c r="O3959" s="1403">
        <f>IF(base[[#This Row],[L/P Líquido]]&gt;0,1,0)</f>
        <v>1</v>
      </c>
      <c r="P3959" s="1403"/>
      <c r="Q3959" s="1403" t="str">
        <f>LEFT(base[[#This Row],[Evento / Mercado]],FIND("vs",base[[#This Row],[Evento / Mercado]])-2)</f>
        <v>FC Sion</v>
      </c>
      <c r="R395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03" t="str">
        <f>LEFT(base[[#This Row],[Evento / Mercado]],FIND("/",base[[#This Row],[Evento / Mercado]])-2)</f>
        <v>FC Sion vs FC Lugano</v>
      </c>
      <c r="T3959" s="1404">
        <f>base[[#This Row],[Data de liquidação]]</f>
        <v>46264.442511574074</v>
      </c>
    </row>
    <row r="3960" spans="2:22" ht="15" customHeight="1">
      <c r="B3960" s="1398" t="s">
        <v>4653</v>
      </c>
      <c r="C3960" s="859" t="s">
        <v>3510</v>
      </c>
      <c r="D3960" s="1399">
        <v>46264.451284722221</v>
      </c>
      <c r="E3960" s="1400">
        <v>8.36</v>
      </c>
      <c r="F3960" s="583">
        <v>4.4999999999999998E-2</v>
      </c>
      <c r="G3960" s="1401">
        <f t="shared" si="157"/>
        <v>8.7539267015706805</v>
      </c>
      <c r="H3960" s="1365" t="s">
        <v>1644</v>
      </c>
      <c r="I3960" s="1433" t="s">
        <v>4682</v>
      </c>
      <c r="J3960" s="1401">
        <v>9.1999999999999993</v>
      </c>
      <c r="K3960" s="1401">
        <v>71.75</v>
      </c>
      <c r="L3960" s="1399">
        <f>INT(base[[#This Row],[Data de liquidação]])</f>
        <v>46264</v>
      </c>
      <c r="M3960" s="1401">
        <f>base[[#This Row],[L/P Bruto]]-base[[#This Row],[L/P Líquido]]</f>
        <v>0.3939267015706811</v>
      </c>
      <c r="N3960" s="1401">
        <f>base[[#This Row],[L/P Líquido]]/base[[#This Row],[Stake/Responsabilidade]]</f>
        <v>0.11651567944250871</v>
      </c>
      <c r="O3960" s="1403">
        <f>IF(base[[#This Row],[L/P Líquido]]&gt;0,1,0)</f>
        <v>1</v>
      </c>
      <c r="P3960" s="1403"/>
      <c r="Q3960" s="1403" t="str">
        <f>LEFT(base[[#This Row],[Evento / Mercado]],FIND("vs",base[[#This Row],[Evento / Mercado]])-2)</f>
        <v>Aarhus Fremad</v>
      </c>
      <c r="R396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03" t="str">
        <f>LEFT(base[[#This Row],[Evento / Mercado]],FIND("/",base[[#This Row],[Evento / Mercado]])-2)</f>
        <v>Aarhus Fremad vs Vejle BK</v>
      </c>
      <c r="T3960" s="1404">
        <f>base[[#This Row],[Data de liquidação]]</f>
        <v>46264.451284722221</v>
      </c>
    </row>
    <row r="3961" spans="2:22" ht="15" customHeight="1">
      <c r="B3961" s="1398" t="s">
        <v>4652</v>
      </c>
      <c r="C3961" s="859" t="s">
        <v>3510</v>
      </c>
      <c r="D3961" s="1399">
        <v>46264.453715277778</v>
      </c>
      <c r="E3961" s="1400">
        <v>0.41</v>
      </c>
      <c r="F3961" s="583">
        <v>4.4999999999999998E-2</v>
      </c>
      <c r="G3961" s="1401">
        <f t="shared" si="157"/>
        <v>0.4293193717277487</v>
      </c>
      <c r="H3961" s="1365" t="s">
        <v>1644</v>
      </c>
      <c r="I3961" s="1387" t="s">
        <v>3291</v>
      </c>
      <c r="J3961" s="1401">
        <v>1.21</v>
      </c>
      <c r="K3961" s="1401">
        <v>2</v>
      </c>
      <c r="L3961" s="1399">
        <f>INT(base[[#This Row],[Data de liquidação]])</f>
        <v>46264</v>
      </c>
      <c r="M3961" s="1401">
        <f>base[[#This Row],[L/P Bruto]]-base[[#This Row],[L/P Líquido]]</f>
        <v>1.9319371727748724E-2</v>
      </c>
      <c r="N3961" s="1401">
        <f>base[[#This Row],[L/P Líquido]]/base[[#This Row],[Stake/Responsabilidade]]</f>
        <v>0.20499999999999999</v>
      </c>
      <c r="O3961" s="1403">
        <f>IF(base[[#This Row],[L/P Líquido]]&gt;0,1,0)</f>
        <v>1</v>
      </c>
      <c r="P3961" s="1403"/>
      <c r="Q3961" s="1403" t="str">
        <f>LEFT(base[[#This Row],[Evento / Mercado]],FIND("vs",base[[#This Row],[Evento / Mercado]])-2)</f>
        <v>Feyenoord</v>
      </c>
      <c r="R396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03" t="str">
        <f>LEFT(base[[#This Row],[Evento / Mercado]],FIND("/",base[[#This Row],[Evento / Mercado]])-2)</f>
        <v>Feyenoord vs ADO Den Haag</v>
      </c>
      <c r="T3961" s="1404">
        <f>base[[#This Row],[Data de liquidação]]</f>
        <v>46264.453715277778</v>
      </c>
    </row>
    <row r="3962" spans="2:22" ht="15" customHeight="1">
      <c r="B3962" s="1398" t="s">
        <v>4651</v>
      </c>
      <c r="C3962" s="859" t="s">
        <v>3510</v>
      </c>
      <c r="D3962" s="1399">
        <v>46264.474699074075</v>
      </c>
      <c r="E3962" s="1400">
        <v>9.16</v>
      </c>
      <c r="F3962" s="583">
        <v>4.4999999999999998E-2</v>
      </c>
      <c r="G3962" s="1401">
        <f t="shared" si="157"/>
        <v>9.5916230366492155</v>
      </c>
      <c r="H3962" s="1401" t="s">
        <v>3292</v>
      </c>
      <c r="I3962" s="1402" t="s">
        <v>626</v>
      </c>
      <c r="J3962" s="1401">
        <v>50</v>
      </c>
      <c r="K3962" s="1401">
        <v>469.91</v>
      </c>
      <c r="L3962" s="1399">
        <f>INT(base[[#This Row],[Data de liquidação]])</f>
        <v>46264</v>
      </c>
      <c r="M3962" s="1401">
        <f>base[[#This Row],[L/P Bruto]]-base[[#This Row],[L/P Líquido]]</f>
        <v>0.43162303664921531</v>
      </c>
      <c r="N3962" s="1401">
        <f>base[[#This Row],[L/P Líquido]]/base[[#This Row],[Stake/Responsabilidade]]</f>
        <v>1.9493094422336193E-2</v>
      </c>
      <c r="O3962" s="1403">
        <f>IF(base[[#This Row],[L/P Líquido]]&gt;0,1,0)</f>
        <v>1</v>
      </c>
      <c r="P3962" s="1403"/>
      <c r="Q3962" s="1403" t="str">
        <f>LEFT(base[[#This Row],[Evento / Mercado]],FIND("vs",base[[#This Row],[Evento / Mercado]])-2)</f>
        <v>Bodø/Glimt</v>
      </c>
      <c r="R3962" s="140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03" t="str">
        <f>LEFT(base[[#This Row],[Evento / Mercado]],FIND("/",base[[#This Row],[Evento / Mercado]])-2)</f>
        <v>Bod</v>
      </c>
      <c r="T3962" s="1404">
        <f>base[[#This Row],[Data de liquidação]]</f>
        <v>46264.474699074075</v>
      </c>
    </row>
    <row r="3963" spans="2:22" ht="15" customHeight="1">
      <c r="B3963" s="1398" t="s">
        <v>4650</v>
      </c>
      <c r="C3963" s="859" t="s">
        <v>3510</v>
      </c>
      <c r="D3963" s="1399">
        <v>46264.475810185184</v>
      </c>
      <c r="E3963" s="1400">
        <v>27.02</v>
      </c>
      <c r="F3963" s="583">
        <v>4.4999999999999998E-2</v>
      </c>
      <c r="G3963" s="1401">
        <f t="shared" si="157"/>
        <v>28.293193717277486</v>
      </c>
      <c r="H3963" s="1401" t="s">
        <v>3365</v>
      </c>
      <c r="I3963" s="1402" t="s">
        <v>391</v>
      </c>
      <c r="J3963" s="1401">
        <v>18.5</v>
      </c>
      <c r="K3963" s="1401">
        <v>495.08</v>
      </c>
      <c r="L3963" s="1399">
        <f>INT(base[[#This Row],[Data de liquidação]])</f>
        <v>46264</v>
      </c>
      <c r="M3963" s="1401">
        <f>base[[#This Row],[L/P Bruto]]-base[[#This Row],[L/P Líquido]]</f>
        <v>1.2731937172774863</v>
      </c>
      <c r="N3963" s="1401">
        <f>base[[#This Row],[L/P Líquido]]/base[[#This Row],[Stake/Responsabilidade]]</f>
        <v>5.4577038054455844E-2</v>
      </c>
      <c r="O3963" s="1403">
        <f>IF(base[[#This Row],[L/P Líquido]]&gt;0,1,0)</f>
        <v>1</v>
      </c>
      <c r="P3963" s="1403" t="s">
        <v>1204</v>
      </c>
      <c r="Q3963" s="1403" t="str">
        <f>LEFT(base[[#This Row],[Evento / Mercado]],FIND("vs",base[[#This Row],[Evento / Mercado]])-2)</f>
        <v>Feyenoord</v>
      </c>
      <c r="R396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03" t="str">
        <f>LEFT(base[[#This Row],[Evento / Mercado]],FIND("/",base[[#This Row],[Evento / Mercado]])-2)</f>
        <v>Feyenoord vs ADO Den Haag</v>
      </c>
      <c r="T3963" s="1404">
        <f>base[[#This Row],[Data de liquidação]]</f>
        <v>46264.475810185184</v>
      </c>
    </row>
    <row r="3964" spans="2:22" ht="15" customHeight="1">
      <c r="B3964" s="1398" t="s">
        <v>4649</v>
      </c>
      <c r="C3964" s="859" t="s">
        <v>3510</v>
      </c>
      <c r="D3964" s="1399">
        <v>46264.475902777776</v>
      </c>
      <c r="E3964" s="1400">
        <v>19.49155</v>
      </c>
      <c r="F3964" s="583">
        <v>4.4999999999999998E-2</v>
      </c>
      <c r="G3964" s="1401">
        <f t="shared" si="157"/>
        <v>20.41</v>
      </c>
      <c r="H3964" s="1434" t="s">
        <v>4683</v>
      </c>
      <c r="I3964" s="1402" t="s">
        <v>693</v>
      </c>
      <c r="J3964" s="1401">
        <f>(15.5*100.05+8.4*99.97)/base[[#This Row],[Stake/Responsabilidade]]</f>
        <v>11.954408161224185</v>
      </c>
      <c r="K3964" s="1401">
        <v>199.97</v>
      </c>
      <c r="L3964" s="1399">
        <f>INT(base[[#This Row],[Data de liquidação]])</f>
        <v>46264</v>
      </c>
      <c r="M3964" s="1401">
        <f>base[[#This Row],[L/P Bruto]]-base[[#This Row],[L/P Líquido]]</f>
        <v>0.91844999999999999</v>
      </c>
      <c r="N3964" s="1401">
        <f>base[[#This Row],[L/P Líquido]]/base[[#This Row],[Stake/Responsabilidade]]</f>
        <v>9.7472370855628349E-2</v>
      </c>
      <c r="O3964" s="1403">
        <f>IF(base[[#This Row],[L/P Líquido]]&gt;0,1,0)</f>
        <v>1</v>
      </c>
      <c r="P3964" s="1403"/>
      <c r="Q3964" s="1403" t="str">
        <f>LEFT(base[[#This Row],[Evento / Mercado]],FIND("vs",base[[#This Row],[Evento / Mercado]])-2)</f>
        <v>Willem II</v>
      </c>
      <c r="R396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03" t="str">
        <f>LEFT(base[[#This Row],[Evento / Mercado]],FIND("/",base[[#This Row],[Evento / Mercado]])-2)</f>
        <v>Willem II vs Heerenveen</v>
      </c>
      <c r="T3964" s="1404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>
      <c r="B3965" s="1398" t="s">
        <v>4649</v>
      </c>
      <c r="C3965" s="859" t="s">
        <v>3510</v>
      </c>
      <c r="D3965" s="1399">
        <v>46264.475902777776</v>
      </c>
      <c r="E3965" s="1400">
        <v>8.3562499999999993</v>
      </c>
      <c r="F3965" s="583">
        <v>4.4999999999999998E-2</v>
      </c>
      <c r="G3965" s="1401">
        <f t="shared" ref="G3965" si="159">IF(E3965&gt;0,E3965/(1-F3965),E3965)</f>
        <v>8.75</v>
      </c>
      <c r="H3965" s="1365" t="s">
        <v>1644</v>
      </c>
      <c r="I3965" s="1433" t="s">
        <v>4682</v>
      </c>
      <c r="J3965" s="1401">
        <v>9</v>
      </c>
      <c r="K3965" s="1401">
        <v>70</v>
      </c>
      <c r="L3965" s="1399">
        <f>INT(base[[#This Row],[Data de liquidação]])</f>
        <v>46264</v>
      </c>
      <c r="M3965" s="1401">
        <f>base[[#This Row],[L/P Bruto]]-base[[#This Row],[L/P Líquido]]</f>
        <v>0.39375000000000071</v>
      </c>
      <c r="N3965" s="1401">
        <f>base[[#This Row],[L/P Líquido]]/base[[#This Row],[Stake/Responsabilidade]]</f>
        <v>0.119375</v>
      </c>
      <c r="O3965" s="1403">
        <f>IF(base[[#This Row],[L/P Líquido]]&gt;0,1,0)</f>
        <v>1</v>
      </c>
      <c r="P3965" s="1403"/>
      <c r="Q3965" s="1403" t="str">
        <f>LEFT(base[[#This Row],[Evento / Mercado]],FIND("vs",base[[#This Row],[Evento / Mercado]])-2)</f>
        <v>Willem II</v>
      </c>
      <c r="R396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03" t="str">
        <f>LEFT(base[[#This Row],[Evento / Mercado]],FIND("/",base[[#This Row],[Evento / Mercado]])-2)</f>
        <v>Willem II vs Heerenveen</v>
      </c>
      <c r="T3965" s="1404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>
      <c r="B3966" s="1398" t="s">
        <v>4648</v>
      </c>
      <c r="C3966" s="859" t="s">
        <v>3510</v>
      </c>
      <c r="D3966" s="1399">
        <v>46264.485509259262</v>
      </c>
      <c r="E3966" s="1400">
        <v>114.6</v>
      </c>
      <c r="F3966" s="583">
        <v>4.4999999999999998E-2</v>
      </c>
      <c r="G3966" s="1401">
        <f t="shared" si="157"/>
        <v>120</v>
      </c>
      <c r="H3966" s="1401" t="s">
        <v>314</v>
      </c>
      <c r="I3966" s="1402" t="s">
        <v>349</v>
      </c>
      <c r="J3966" s="1401">
        <v>2</v>
      </c>
      <c r="K3966" s="1401">
        <v>120</v>
      </c>
      <c r="L3966" s="1399">
        <f>INT(base[[#This Row],[Data de liquidação]])</f>
        <v>46264</v>
      </c>
      <c r="M3966" s="1401">
        <f>base[[#This Row],[L/P Bruto]]-base[[#This Row],[L/P Líquido]]</f>
        <v>5.4000000000000057</v>
      </c>
      <c r="N3966" s="1401">
        <f>base[[#This Row],[L/P Líquido]]/base[[#This Row],[Stake/Responsabilidade]]</f>
        <v>0.95499999999999996</v>
      </c>
      <c r="O3966" s="1403">
        <f>IF(base[[#This Row],[L/P Líquido]]&gt;0,1,0)</f>
        <v>1</v>
      </c>
      <c r="P3966" s="1403"/>
      <c r="Q3966" s="1403" t="str">
        <f>LEFT(base[[#This Row],[Evento / Mercado]],FIND("vs",base[[#This Row],[Evento / Mercado]])-2)</f>
        <v>Athlético Paranaense</v>
      </c>
      <c r="R396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03" t="str">
        <f>LEFT(base[[#This Row],[Evento / Mercado]],FIND("/",base[[#This Row],[Evento / Mercado]])-2)</f>
        <v>Athlético Paranaense vs Fluminense FC</v>
      </c>
      <c r="T3966" s="1404">
        <f>base[[#This Row],[Data de liquidação]]</f>
        <v>46264.485509259262</v>
      </c>
    </row>
    <row r="3967" spans="2:22" ht="15" customHeight="1">
      <c r="B3967" s="1398" t="s">
        <v>4647</v>
      </c>
      <c r="C3967" s="859" t="s">
        <v>3510</v>
      </c>
      <c r="D3967" s="1399">
        <v>46264.526574074072</v>
      </c>
      <c r="E3967" s="1400">
        <v>0.6</v>
      </c>
      <c r="F3967" s="583">
        <v>4.4999999999999998E-2</v>
      </c>
      <c r="G3967" s="1401">
        <f t="shared" si="157"/>
        <v>0.62827225130890052</v>
      </c>
      <c r="H3967" s="1365" t="s">
        <v>1644</v>
      </c>
      <c r="I3967" s="1387" t="s">
        <v>3291</v>
      </c>
      <c r="J3967" s="1401">
        <v>1.31</v>
      </c>
      <c r="K3967" s="1401">
        <v>2</v>
      </c>
      <c r="L3967" s="1399">
        <f>INT(base[[#This Row],[Data de liquidação]])</f>
        <v>46264</v>
      </c>
      <c r="M3967" s="1401">
        <f>base[[#This Row],[L/P Bruto]]-base[[#This Row],[L/P Líquido]]</f>
        <v>2.8272251308900542E-2</v>
      </c>
      <c r="N3967" s="1401">
        <f>base[[#This Row],[L/P Líquido]]/base[[#This Row],[Stake/Responsabilidade]]</f>
        <v>0.3</v>
      </c>
      <c r="O3967" s="1403">
        <f>IF(base[[#This Row],[L/P Líquido]]&gt;0,1,0)</f>
        <v>1</v>
      </c>
      <c r="P3967" s="1403"/>
      <c r="Q3967" s="1403" t="str">
        <f>LEFT(base[[#This Row],[Evento / Mercado]],FIND("vs",base[[#This Row],[Evento / Mercado]])-2)</f>
        <v>FC St. Gallen</v>
      </c>
      <c r="R396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03" t="str">
        <f>LEFT(base[[#This Row],[Evento / Mercado]],FIND("/",base[[#This Row],[Evento / Mercado]])-2)</f>
        <v>FC St. Gallen vs FC Thun</v>
      </c>
      <c r="T3967" s="1404">
        <f>base[[#This Row],[Data de liquidação]]</f>
        <v>46264.526574074072</v>
      </c>
    </row>
    <row r="3968" spans="2:22" ht="15" customHeight="1">
      <c r="B3968" s="1398" t="s">
        <v>4646</v>
      </c>
      <c r="C3968" s="859" t="s">
        <v>3510</v>
      </c>
      <c r="D3968" s="1399">
        <v>46264.535763888889</v>
      </c>
      <c r="E3968" s="1400">
        <v>7.59</v>
      </c>
      <c r="F3968" s="583">
        <v>4.4999999999999998E-2</v>
      </c>
      <c r="G3968" s="1401">
        <f t="shared" si="157"/>
        <v>7.9476439790575917</v>
      </c>
      <c r="H3968" s="1365" t="s">
        <v>1644</v>
      </c>
      <c r="I3968" s="1433" t="s">
        <v>4682</v>
      </c>
      <c r="J3968" s="1401">
        <v>9.8000000000000007</v>
      </c>
      <c r="K3968" s="1401">
        <v>69.959999999999994</v>
      </c>
      <c r="L3968" s="1399">
        <f>INT(base[[#This Row],[Data de liquidação]])</f>
        <v>46264</v>
      </c>
      <c r="M3968" s="1401">
        <f>base[[#This Row],[L/P Bruto]]-base[[#This Row],[L/P Líquido]]</f>
        <v>0.35764397905759182</v>
      </c>
      <c r="N3968" s="1401">
        <f>base[[#This Row],[L/P Líquido]]/base[[#This Row],[Stake/Responsabilidade]]</f>
        <v>0.10849056603773585</v>
      </c>
      <c r="O3968" s="1403">
        <f>IF(base[[#This Row],[L/P Líquido]]&gt;0,1,0)</f>
        <v>1</v>
      </c>
      <c r="P3968" s="1403"/>
      <c r="Q3968" s="1403" t="str">
        <f>LEFT(base[[#This Row],[Evento / Mercado]],FIND("vs",base[[#This Row],[Evento / Mercado]])-2)</f>
        <v>Tallinna FC Flora</v>
      </c>
      <c r="R396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03" t="str">
        <f>LEFT(base[[#This Row],[Evento / Mercado]],FIND("/",base[[#This Row],[Evento / Mercado]])-2)</f>
        <v>Tallinna FC Flora vs Paide Linnameeskond</v>
      </c>
      <c r="T3968" s="1404">
        <f>base[[#This Row],[Data de liquidação]]</f>
        <v>46264.535763888889</v>
      </c>
    </row>
    <row r="3969" spans="2:22" ht="15" customHeight="1">
      <c r="B3969" s="1398" t="s">
        <v>4645</v>
      </c>
      <c r="C3969" s="859" t="s">
        <v>3510</v>
      </c>
      <c r="D3969" s="1399">
        <v>46264.557569444441</v>
      </c>
      <c r="E3969" s="1400">
        <v>45.31</v>
      </c>
      <c r="F3969" s="583">
        <v>4.4999999999999998E-2</v>
      </c>
      <c r="G3969" s="1401">
        <f t="shared" si="157"/>
        <v>47.445026178010473</v>
      </c>
      <c r="H3969" s="1434" t="s">
        <v>4683</v>
      </c>
      <c r="I3969" s="1402" t="s">
        <v>626</v>
      </c>
      <c r="J3969" s="1401">
        <f>(15*99.96+16*100.05+12*370.04)/base[[#This Row],[Stake/Responsabilidade]]</f>
        <v>13.228102798000178</v>
      </c>
      <c r="K3969" s="1401">
        <f>99.96+100.05+370.04</f>
        <v>570.04999999999995</v>
      </c>
      <c r="L3969" s="1399">
        <f>INT(base[[#This Row],[Data de liquidação]])</f>
        <v>46264</v>
      </c>
      <c r="M3969" s="1401">
        <f>base[[#This Row],[L/P Bruto]]-base[[#This Row],[L/P Líquido]]</f>
        <v>2.1350261780104702</v>
      </c>
      <c r="N3969" s="1401">
        <f>base[[#This Row],[L/P Líquido]]/base[[#This Row],[Stake/Responsabilidade]]</f>
        <v>7.9484255767037992E-2</v>
      </c>
      <c r="O3969" s="1403">
        <f>IF(base[[#This Row],[L/P Líquido]]&gt;0,1,0)</f>
        <v>1</v>
      </c>
      <c r="P3969" s="1403"/>
      <c r="Q3969" s="1403" t="str">
        <f>LEFT(base[[#This Row],[Evento / Mercado]],FIND("vs",base[[#This Row],[Evento / Mercado]])-2)</f>
        <v>IFK Göteborg</v>
      </c>
      <c r="R396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03" t="str">
        <f>LEFT(base[[#This Row],[Evento / Mercado]],FIND("/",base[[#This Row],[Evento / Mercado]])-2)</f>
        <v>IFK Göteborg vs Örgryte IS</v>
      </c>
      <c r="T3969" s="1404">
        <f>base[[#This Row],[Data de liquidação]]</f>
        <v>46264.557569444441</v>
      </c>
    </row>
    <row r="3970" spans="2:22" ht="15" customHeight="1">
      <c r="B3970" s="1398" t="s">
        <v>4644</v>
      </c>
      <c r="C3970" s="859" t="s">
        <v>3510</v>
      </c>
      <c r="D3970" s="1399">
        <v>46264.568368055552</v>
      </c>
      <c r="E3970" s="1400">
        <v>9.93</v>
      </c>
      <c r="F3970" s="583">
        <v>4.4999999999999998E-2</v>
      </c>
      <c r="G3970" s="1401">
        <f t="shared" si="157"/>
        <v>10.397905759162304</v>
      </c>
      <c r="H3970" s="1365" t="s">
        <v>1644</v>
      </c>
      <c r="I3970" s="1402" t="s">
        <v>2272</v>
      </c>
      <c r="J3970" s="1401">
        <v>1.52</v>
      </c>
      <c r="K3970" s="1401">
        <v>20</v>
      </c>
      <c r="L3970" s="1399">
        <f>INT(base[[#This Row],[Data de liquidação]])</f>
        <v>46264</v>
      </c>
      <c r="M3970" s="1401">
        <f>base[[#This Row],[L/P Bruto]]-base[[#This Row],[L/P Líquido]]</f>
        <v>0.46790575916230459</v>
      </c>
      <c r="N3970" s="1401">
        <f>base[[#This Row],[L/P Líquido]]/base[[#This Row],[Stake/Responsabilidade]]</f>
        <v>0.4965</v>
      </c>
      <c r="O3970" s="1403">
        <f>IF(base[[#This Row],[L/P Líquido]]&gt;0,1,0)</f>
        <v>1</v>
      </c>
      <c r="P3970" s="1403"/>
      <c r="Q3970" s="1403" t="str">
        <f>LEFT(base[[#This Row],[Evento / Mercado]],FIND("vs",base[[#This Row],[Evento / Mercado]])-2)</f>
        <v>FK Teplice</v>
      </c>
      <c r="R397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03" t="str">
        <f>LEFT(base[[#This Row],[Evento / Mercado]],FIND("/",base[[#This Row],[Evento / Mercado]])-2)</f>
        <v>FK Teplice vs FK Jablonec</v>
      </c>
      <c r="T3970" s="1404">
        <f>base[[#This Row],[Data de liquidação]]</f>
        <v>46264.568368055552</v>
      </c>
    </row>
    <row r="3971" spans="2:22" ht="15" customHeight="1">
      <c r="B3971" s="1398" t="s">
        <v>4643</v>
      </c>
      <c r="C3971" s="859" t="s">
        <v>3510</v>
      </c>
      <c r="D3971" s="1399">
        <v>46264.577314814815</v>
      </c>
      <c r="E3971" s="1400">
        <v>8.57</v>
      </c>
      <c r="F3971" s="583">
        <v>4.4999999999999998E-2</v>
      </c>
      <c r="G3971" s="1401">
        <f t="shared" si="157"/>
        <v>8.9738219895287958</v>
      </c>
      <c r="H3971" s="1365" t="s">
        <v>1644</v>
      </c>
      <c r="I3971" s="1433" t="s">
        <v>4682</v>
      </c>
      <c r="J3971" s="1401">
        <v>8.4</v>
      </c>
      <c r="K3971" s="1401">
        <v>66.38</v>
      </c>
      <c r="L3971" s="1399">
        <f>INT(base[[#This Row],[Data de liquidação]])</f>
        <v>46264</v>
      </c>
      <c r="M3971" s="1401">
        <f>base[[#This Row],[L/P Bruto]]-base[[#This Row],[L/P Líquido]]</f>
        <v>0.40382198952879556</v>
      </c>
      <c r="N3971" s="1401">
        <f>base[[#This Row],[L/P Líquido]]/base[[#This Row],[Stake/Responsabilidade]]</f>
        <v>0.12910515215426335</v>
      </c>
      <c r="O3971" s="1403">
        <f>IF(base[[#This Row],[L/P Líquido]]&gt;0,1,0)</f>
        <v>1</v>
      </c>
      <c r="P3971" s="1403"/>
      <c r="Q3971" s="1403" t="str">
        <f>LEFT(base[[#This Row],[Evento / Mercado]],FIND("vs",base[[#This Row],[Evento / Mercado]])-2)</f>
        <v>Sandefjord Fotball</v>
      </c>
      <c r="R397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03" t="str">
        <f>LEFT(base[[#This Row],[Evento / Mercado]],FIND("/",base[[#This Row],[Evento / Mercado]])-2)</f>
        <v>Sandefjord Fotball vs Brann</v>
      </c>
      <c r="T3971" s="1404">
        <f>base[[#This Row],[Data de liquidação]]</f>
        <v>46264.577314814815</v>
      </c>
    </row>
    <row r="3972" spans="2:22" ht="15" customHeight="1">
      <c r="B3972" s="1398" t="s">
        <v>4642</v>
      </c>
      <c r="C3972" s="859" t="s">
        <v>3510</v>
      </c>
      <c r="D3972" s="1399">
        <v>46264.581354166665</v>
      </c>
      <c r="E3972" s="1400">
        <v>27.32</v>
      </c>
      <c r="F3972" s="583">
        <v>4.4999999999999998E-2</v>
      </c>
      <c r="G3972" s="1401">
        <f t="shared" si="157"/>
        <v>28.607329842931939</v>
      </c>
      <c r="H3972" s="1401" t="s">
        <v>150</v>
      </c>
      <c r="I3972" s="1402" t="s">
        <v>627</v>
      </c>
      <c r="J3972" s="1401">
        <v>19</v>
      </c>
      <c r="K3972" s="1401">
        <v>514.98</v>
      </c>
      <c r="L3972" s="1399">
        <f>INT(base[[#This Row],[Data de liquidação]])</f>
        <v>46264</v>
      </c>
      <c r="M3972" s="1401">
        <f>base[[#This Row],[L/P Bruto]]-base[[#This Row],[L/P Líquido]]</f>
        <v>1.2873298429319391</v>
      </c>
      <c r="N3972" s="1401">
        <f>base[[#This Row],[L/P Líquido]]/base[[#This Row],[Stake/Responsabilidade]]</f>
        <v>5.3050603906947838E-2</v>
      </c>
      <c r="O3972" s="1403">
        <f>IF(base[[#This Row],[L/P Líquido]]&gt;0,1,0)</f>
        <v>1</v>
      </c>
      <c r="P3972" s="1403"/>
      <c r="Q3972" s="1403" t="str">
        <f>LEFT(base[[#This Row],[Evento / Mercado]],FIND("vs",base[[#This Row],[Evento / Mercado]])-2)</f>
        <v>Real Madrid</v>
      </c>
      <c r="R397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03" t="str">
        <f>LEFT(base[[#This Row],[Evento / Mercado]],FIND("/",base[[#This Row],[Evento / Mercado]])-2)</f>
        <v>Real Madrid vs Málaga</v>
      </c>
      <c r="T3972" s="1404">
        <f>base[[#This Row],[Data de liquidação]]</f>
        <v>46264.581354166665</v>
      </c>
    </row>
    <row r="3973" spans="2:22" ht="15" customHeight="1">
      <c r="B3973" s="1398" t="s">
        <v>4641</v>
      </c>
      <c r="C3973" s="859" t="s">
        <v>3510</v>
      </c>
      <c r="D3973" s="1399">
        <v>46264.581423611111</v>
      </c>
      <c r="E3973" s="1400">
        <v>6.2</v>
      </c>
      <c r="F3973" s="583">
        <v>4.4999999999999998E-2</v>
      </c>
      <c r="G3973" s="1401">
        <f t="shared" si="157"/>
        <v>6.4921465968586389</v>
      </c>
      <c r="H3973" s="1401" t="s">
        <v>3292</v>
      </c>
      <c r="I3973" s="1402" t="s">
        <v>626</v>
      </c>
      <c r="J3973" s="1401">
        <v>75</v>
      </c>
      <c r="K3973" s="1401">
        <v>480.26</v>
      </c>
      <c r="L3973" s="1399">
        <f>INT(base[[#This Row],[Data de liquidação]])</f>
        <v>46264</v>
      </c>
      <c r="M3973" s="1401">
        <f>base[[#This Row],[L/P Bruto]]-base[[#This Row],[L/P Líquido]]</f>
        <v>0.29214659685863875</v>
      </c>
      <c r="N3973" s="1401">
        <f>base[[#This Row],[L/P Líquido]]/base[[#This Row],[Stake/Responsabilidade]]</f>
        <v>1.290967392662308E-2</v>
      </c>
      <c r="O3973" s="1403">
        <f>IF(base[[#This Row],[L/P Líquido]]&gt;0,1,0)</f>
        <v>1</v>
      </c>
      <c r="P3973" s="1403"/>
      <c r="Q3973" s="1403" t="str">
        <f>LEFT(base[[#This Row],[Evento / Mercado]],FIND("vs",base[[#This Row],[Evento / Mercado]])-2)</f>
        <v>Viking FK</v>
      </c>
      <c r="R397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03" t="str">
        <f>LEFT(base[[#This Row],[Evento / Mercado]],FIND("/",base[[#This Row],[Evento / Mercado]])-2)</f>
        <v>Viking FK vs Aalesunds FK</v>
      </c>
      <c r="T3973" s="1404">
        <f>base[[#This Row],[Data de liquidação]]</f>
        <v>46264.581423611111</v>
      </c>
    </row>
    <row r="3974" spans="2:22" ht="15" customHeight="1">
      <c r="B3974" s="1398" t="s">
        <v>4640</v>
      </c>
      <c r="C3974" s="859" t="s">
        <v>3510</v>
      </c>
      <c r="D3974" s="1399">
        <v>46264.581516203703</v>
      </c>
      <c r="E3974" s="1400">
        <v>21.554349999999999</v>
      </c>
      <c r="F3974" s="583">
        <v>4.4999999999999998E-2</v>
      </c>
      <c r="G3974" s="1401">
        <f t="shared" si="157"/>
        <v>22.57</v>
      </c>
      <c r="H3974" s="1401" t="s">
        <v>3292</v>
      </c>
      <c r="I3974" s="1402" t="s">
        <v>626</v>
      </c>
      <c r="J3974" s="1401">
        <v>22</v>
      </c>
      <c r="K3974" s="1401">
        <v>473.88</v>
      </c>
      <c r="L3974" s="1399">
        <f>INT(base[[#This Row],[Data de liquidação]])</f>
        <v>46264</v>
      </c>
      <c r="M3974" s="1401">
        <f>base[[#This Row],[L/P Bruto]]-base[[#This Row],[L/P Líquido]]</f>
        <v>1.0156500000000008</v>
      </c>
      <c r="N3974" s="1401">
        <f>base[[#This Row],[L/P Líquido]]/base[[#This Row],[Stake/Responsabilidade]]</f>
        <v>4.5484827382459694E-2</v>
      </c>
      <c r="O3974" s="1403">
        <f>IF(base[[#This Row],[L/P Líquido]]&gt;0,1,0)</f>
        <v>1</v>
      </c>
      <c r="P3974" s="1403"/>
      <c r="Q3974" s="1403" t="str">
        <f>LEFT(base[[#This Row],[Evento / Mercado]],FIND("vs",base[[#This Row],[Evento / Mercado]])-2)</f>
        <v>Tromsø</v>
      </c>
      <c r="R397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03" t="str">
        <f>LEFT(base[[#This Row],[Evento / Mercado]],FIND("/",base[[#This Row],[Evento / Mercado]])-2)</f>
        <v>Tromsø vs Sarpsborg 08</v>
      </c>
      <c r="T3974" s="1404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>
      <c r="B3975" s="1398" t="s">
        <v>4640</v>
      </c>
      <c r="C3975" s="859" t="s">
        <v>3510</v>
      </c>
      <c r="D3975" s="1399">
        <v>46264.581516203703</v>
      </c>
      <c r="E3975" s="1400">
        <v>44.417049999999996</v>
      </c>
      <c r="F3975" s="583">
        <v>4.4999999999999998E-2</v>
      </c>
      <c r="G3975" s="1401">
        <f t="shared" ref="G3975" si="161">IF(E3975&gt;0,E3975/(1-F3975),E3975)</f>
        <v>46.51</v>
      </c>
      <c r="H3975" s="1434" t="s">
        <v>4683</v>
      </c>
      <c r="I3975" s="1402" t="s">
        <v>626</v>
      </c>
      <c r="J3975" s="1401">
        <v>9.6</v>
      </c>
      <c r="K3975" s="1401">
        <v>399.99</v>
      </c>
      <c r="L3975" s="1399">
        <f>INT(base[[#This Row],[Data de liquidação]])</f>
        <v>46264</v>
      </c>
      <c r="M3975" s="1401">
        <f>base[[#This Row],[L/P Bruto]]-base[[#This Row],[L/P Líquido]]</f>
        <v>2.0929500000000019</v>
      </c>
      <c r="N3975" s="1401">
        <f>base[[#This Row],[L/P Líquido]]/base[[#This Row],[Stake/Responsabilidade]]</f>
        <v>0.11104540113502837</v>
      </c>
      <c r="O3975" s="1403">
        <f>IF(base[[#This Row],[L/P Líquido]]&gt;0,1,0)</f>
        <v>1</v>
      </c>
      <c r="P3975" s="1403"/>
      <c r="Q3975" s="1403" t="str">
        <f>LEFT(base[[#This Row],[Evento / Mercado]],FIND("vs",base[[#This Row],[Evento / Mercado]])-2)</f>
        <v>Tromsø</v>
      </c>
      <c r="R397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03" t="str">
        <f>LEFT(base[[#This Row],[Evento / Mercado]],FIND("/",base[[#This Row],[Evento / Mercado]])-2)</f>
        <v>Tromsø vs Sarpsborg 08</v>
      </c>
      <c r="T3975" s="1404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>
      <c r="B3976" s="1398" t="s">
        <v>4639</v>
      </c>
      <c r="C3976" s="859" t="s">
        <v>3510</v>
      </c>
      <c r="D3976" s="1399">
        <v>46264.58153935185</v>
      </c>
      <c r="E3976" s="1400">
        <v>59.69</v>
      </c>
      <c r="F3976" s="583">
        <v>4.4999999999999998E-2</v>
      </c>
      <c r="G3976" s="1401">
        <f t="shared" si="157"/>
        <v>62.502617801047123</v>
      </c>
      <c r="H3976" s="1401" t="s">
        <v>3365</v>
      </c>
      <c r="I3976" s="1402" t="s">
        <v>391</v>
      </c>
      <c r="J3976" s="1401">
        <v>9.8000000000000007</v>
      </c>
      <c r="K3976" s="1401">
        <v>550</v>
      </c>
      <c r="L3976" s="1399">
        <f>INT(base[[#This Row],[Data de liquidação]])</f>
        <v>46264</v>
      </c>
      <c r="M3976" s="1401">
        <f>base[[#This Row],[L/P Bruto]]-base[[#This Row],[L/P Líquido]]</f>
        <v>2.812617801047125</v>
      </c>
      <c r="N3976" s="1401">
        <f>base[[#This Row],[L/P Líquido]]/base[[#This Row],[Stake/Responsabilidade]]</f>
        <v>0.10852727272727272</v>
      </c>
      <c r="O3976" s="1403">
        <f>IF(base[[#This Row],[L/P Líquido]]&gt;0,1,0)</f>
        <v>1</v>
      </c>
      <c r="P3976" s="1403" t="s">
        <v>2006</v>
      </c>
      <c r="Q3976" s="1403" t="str">
        <f>LEFT(base[[#This Row],[Evento / Mercado]],FIND("vs",base[[#This Row],[Evento / Mercado]])-2)</f>
        <v>Viking FK</v>
      </c>
      <c r="R397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03" t="str">
        <f>LEFT(base[[#This Row],[Evento / Mercado]],FIND("/",base[[#This Row],[Evento / Mercado]])-2)</f>
        <v>Viking FK vs Aalesunds FK</v>
      </c>
      <c r="T3976" s="1404">
        <f>base[[#This Row],[Data de liquidação]]</f>
        <v>46264.58153935185</v>
      </c>
    </row>
    <row r="3977" spans="2:22" ht="15" customHeight="1">
      <c r="B3977" s="1398" t="s">
        <v>4638</v>
      </c>
      <c r="C3977" s="859" t="s">
        <v>3510</v>
      </c>
      <c r="D3977" s="1399">
        <v>46264.581550925926</v>
      </c>
      <c r="E3977" s="1400">
        <v>27.28</v>
      </c>
      <c r="F3977" s="583">
        <v>4.4999999999999998E-2</v>
      </c>
      <c r="G3977" s="1401">
        <f t="shared" si="157"/>
        <v>28.565445026178011</v>
      </c>
      <c r="H3977" s="1401" t="s">
        <v>3365</v>
      </c>
      <c r="I3977" s="1402" t="s">
        <v>4665</v>
      </c>
      <c r="J3977" s="1401">
        <v>15</v>
      </c>
      <c r="K3977" s="1401">
        <v>399.98</v>
      </c>
      <c r="L3977" s="1399">
        <f>INT(base[[#This Row],[Data de liquidação]])</f>
        <v>46264</v>
      </c>
      <c r="M3977" s="1401">
        <f>base[[#This Row],[L/P Bruto]]-base[[#This Row],[L/P Líquido]]</f>
        <v>1.2854450261780102</v>
      </c>
      <c r="N3977" s="1401">
        <f>base[[#This Row],[L/P Líquido]]/base[[#This Row],[Stake/Responsabilidade]]</f>
        <v>6.820341017050853E-2</v>
      </c>
      <c r="O3977" s="1403">
        <f>IF(base[[#This Row],[L/P Líquido]]&gt;0,1,0)</f>
        <v>1</v>
      </c>
      <c r="P3977" s="1403" t="s">
        <v>1201</v>
      </c>
      <c r="Q3977" s="1403" t="str">
        <f>LEFT(base[[#This Row],[Evento / Mercado]],FIND("vs",base[[#This Row],[Evento / Mercado]])-2)</f>
        <v>Real Madrid</v>
      </c>
      <c r="R397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03" t="str">
        <f>LEFT(base[[#This Row],[Evento / Mercado]],FIND("/",base[[#This Row],[Evento / Mercado]])-2)</f>
        <v>Real Madrid vs Málaga</v>
      </c>
      <c r="T3977" s="1404">
        <f>base[[#This Row],[Data de liquidação]]</f>
        <v>46264.581550925926</v>
      </c>
    </row>
    <row r="3978" spans="2:22" ht="15" customHeight="1">
      <c r="B3978" s="1398" t="s">
        <v>4637</v>
      </c>
      <c r="C3978" s="859" t="s">
        <v>3510</v>
      </c>
      <c r="D3978" s="1399">
        <v>46264.661412037036</v>
      </c>
      <c r="E3978" s="1400">
        <v>8.09</v>
      </c>
      <c r="F3978" s="583">
        <v>4.4999999999999998E-2</v>
      </c>
      <c r="G3978" s="1401">
        <f t="shared" si="157"/>
        <v>8.4712041884816749</v>
      </c>
      <c r="H3978" s="1401" t="s">
        <v>3292</v>
      </c>
      <c r="I3978" s="1402" t="s">
        <v>626</v>
      </c>
      <c r="J3978" s="1401">
        <v>60</v>
      </c>
      <c r="K3978" s="1401">
        <v>499.73</v>
      </c>
      <c r="L3978" s="1399">
        <f>INT(base[[#This Row],[Data de liquidação]])</f>
        <v>46264</v>
      </c>
      <c r="M3978" s="1401">
        <f>base[[#This Row],[L/P Bruto]]-base[[#This Row],[L/P Líquido]]</f>
        <v>0.38120418848167503</v>
      </c>
      <c r="N3978" s="1401">
        <f>base[[#This Row],[L/P Líquido]]/base[[#This Row],[Stake/Responsabilidade]]</f>
        <v>1.6188741920637142E-2</v>
      </c>
      <c r="O3978" s="1403">
        <f>IF(base[[#This Row],[L/P Líquido]]&gt;0,1,0)</f>
        <v>1</v>
      </c>
      <c r="P3978" s="1403"/>
      <c r="Q3978" s="1403" t="str">
        <f>LEFT(base[[#This Row],[Evento / Mercado]],FIND("vs",base[[#This Row],[Evento / Mercado]])-2)</f>
        <v>Fram Reykjavik</v>
      </c>
      <c r="R397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03" t="str">
        <f>LEFT(base[[#This Row],[Evento / Mercado]],FIND("/",base[[#This Row],[Evento / Mercado]])-2)</f>
        <v>Fram Reykjavik vs KA Akureyrar</v>
      </c>
      <c r="T3978" s="1404">
        <f>base[[#This Row],[Data de liquidação]]</f>
        <v>46264.661412037036</v>
      </c>
    </row>
    <row r="3979" spans="2:22" ht="15" customHeight="1">
      <c r="B3979" s="1398" t="s">
        <v>4636</v>
      </c>
      <c r="C3979" s="859" t="s">
        <v>3510</v>
      </c>
      <c r="D3979" s="1399">
        <v>46264.747384259259</v>
      </c>
      <c r="E3979" s="1400">
        <v>12.44</v>
      </c>
      <c r="F3979" s="583">
        <v>4.4999999999999998E-2</v>
      </c>
      <c r="G3979" s="1401">
        <f t="shared" si="157"/>
        <v>13.026178010471204</v>
      </c>
      <c r="H3979" s="1401" t="s">
        <v>3292</v>
      </c>
      <c r="I3979" s="1402" t="s">
        <v>626</v>
      </c>
      <c r="J3979" s="1401">
        <v>40</v>
      </c>
      <c r="K3979" s="1401">
        <v>508.17</v>
      </c>
      <c r="L3979" s="1399">
        <f>INT(base[[#This Row],[Data de liquidação]])</f>
        <v>46264</v>
      </c>
      <c r="M3979" s="1401">
        <f>base[[#This Row],[L/P Bruto]]-base[[#This Row],[L/P Líquido]]</f>
        <v>0.58617801047120466</v>
      </c>
      <c r="N3979" s="1401">
        <f>base[[#This Row],[L/P Líquido]]/base[[#This Row],[Stake/Responsabilidade]]</f>
        <v>2.4479996851447347E-2</v>
      </c>
      <c r="O3979" s="1403">
        <f>IF(base[[#This Row],[L/P Líquido]]&gt;0,1,0)</f>
        <v>1</v>
      </c>
      <c r="P3979" s="1403"/>
      <c r="Q3979" s="1403" t="str">
        <f>LEFT(base[[#This Row],[Evento / Mercado]],FIND("vs",base[[#This Row],[Evento / Mercado]])-2)</f>
        <v>Flamengo</v>
      </c>
      <c r="R397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03" t="str">
        <f>LEFT(base[[#This Row],[Evento / Mercado]],FIND("/",base[[#This Row],[Evento / Mercado]])-2)</f>
        <v>Flamengo vs Botafogo FR</v>
      </c>
      <c r="T3979" s="1404">
        <f>base[[#This Row],[Data de liquidação]]</f>
        <v>46264.747384259259</v>
      </c>
    </row>
    <row r="3980" spans="2:22" ht="15" customHeight="1">
      <c r="B3980" s="1398" t="s">
        <v>4635</v>
      </c>
      <c r="C3980" s="859" t="s">
        <v>3510</v>
      </c>
      <c r="D3980" s="1399">
        <v>46264.763865740744</v>
      </c>
      <c r="E3980" s="1400">
        <v>-20</v>
      </c>
      <c r="F3980" s="583">
        <v>4.4999999999999998E-2</v>
      </c>
      <c r="G3980" s="1401">
        <f t="shared" si="157"/>
        <v>-20</v>
      </c>
      <c r="H3980" s="1365" t="s">
        <v>1644</v>
      </c>
      <c r="I3980" s="1402" t="s">
        <v>2272</v>
      </c>
      <c r="J3980" s="1401">
        <v>1.51</v>
      </c>
      <c r="K3980" s="1401">
        <v>20</v>
      </c>
      <c r="L3980" s="1399">
        <f>INT(base[[#This Row],[Data de liquidação]])</f>
        <v>46264</v>
      </c>
      <c r="M3980" s="1401">
        <f>base[[#This Row],[L/P Bruto]]-base[[#This Row],[L/P Líquido]]</f>
        <v>0</v>
      </c>
      <c r="N3980" s="1401">
        <f>base[[#This Row],[L/P Líquido]]/base[[#This Row],[Stake/Responsabilidade]]</f>
        <v>-1</v>
      </c>
      <c r="O3980" s="1403">
        <f>IF(base[[#This Row],[L/P Líquido]]&gt;0,1,0)</f>
        <v>0</v>
      </c>
      <c r="P3980" s="1403"/>
      <c r="Q3980" s="1403" t="str">
        <f>LEFT(base[[#This Row],[Evento / Mercado]],FIND("vs",base[[#This Row],[Evento / Mercado]])-2)</f>
        <v>Famalicão</v>
      </c>
      <c r="R398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03" t="str">
        <f>LEFT(base[[#This Row],[Evento / Mercado]],FIND("/",base[[#This Row],[Evento / Mercado]])-2)</f>
        <v>Famalicão vs Gil Vicente</v>
      </c>
      <c r="T3980" s="1404">
        <f>base[[#This Row],[Data de liquidação]]</f>
        <v>46264.763865740744</v>
      </c>
    </row>
    <row r="3981" spans="2:22" ht="15" customHeight="1">
      <c r="B3981" s="1398" t="s">
        <v>4634</v>
      </c>
      <c r="C3981" s="859" t="s">
        <v>3510</v>
      </c>
      <c r="D3981" s="1399">
        <v>46264.767187500001</v>
      </c>
      <c r="E3981" s="1400">
        <v>1.18</v>
      </c>
      <c r="F3981" s="583">
        <v>4.4999999999999998E-2</v>
      </c>
      <c r="G3981" s="1401">
        <f t="shared" si="157"/>
        <v>1.2356020942408377</v>
      </c>
      <c r="H3981" s="1365" t="s">
        <v>1644</v>
      </c>
      <c r="I3981" s="1387" t="s">
        <v>3291</v>
      </c>
      <c r="J3981" s="1401">
        <v>1.62</v>
      </c>
      <c r="K3981" s="1401">
        <v>2</v>
      </c>
      <c r="L3981" s="1399">
        <f>INT(base[[#This Row],[Data de liquidação]])</f>
        <v>46264</v>
      </c>
      <c r="M3981" s="1401">
        <f>base[[#This Row],[L/P Bruto]]-base[[#This Row],[L/P Líquido]]</f>
        <v>5.5602094240837729E-2</v>
      </c>
      <c r="N3981" s="1401">
        <f>base[[#This Row],[L/P Líquido]]/base[[#This Row],[Stake/Responsabilidade]]</f>
        <v>0.59</v>
      </c>
      <c r="O3981" s="1403">
        <f>IF(base[[#This Row],[L/P Líquido]]&gt;0,1,0)</f>
        <v>1</v>
      </c>
      <c r="P3981" s="1403"/>
      <c r="Q3981" s="1403" t="str">
        <f>LEFT(base[[#This Row],[Evento / Mercado]],FIND("vs",base[[#This Row],[Evento / Mercado]])-2)</f>
        <v>Argentinos Juniors</v>
      </c>
      <c r="R398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03" t="str">
        <f>LEFT(base[[#This Row],[Evento / Mercado]],FIND("/",base[[#This Row],[Evento / Mercado]])-2)</f>
        <v>Argentinos Juniors vs Aldosivi</v>
      </c>
      <c r="T3981" s="1404">
        <f>base[[#This Row],[Data de liquidação]]</f>
        <v>46264.767187500001</v>
      </c>
    </row>
    <row r="3982" spans="2:22" ht="15" customHeight="1">
      <c r="B3982" s="1398" t="s">
        <v>4633</v>
      </c>
      <c r="C3982" s="859" t="s">
        <v>3510</v>
      </c>
      <c r="D3982" s="1399">
        <v>46264.849479166667</v>
      </c>
      <c r="E3982" s="1400">
        <v>-2</v>
      </c>
      <c r="F3982" s="583">
        <v>4.4999999999999998E-2</v>
      </c>
      <c r="G3982" s="1401">
        <f t="shared" si="157"/>
        <v>-2</v>
      </c>
      <c r="H3982" s="1365" t="s">
        <v>1644</v>
      </c>
      <c r="I3982" s="1387" t="s">
        <v>3291</v>
      </c>
      <c r="J3982" s="1401">
        <v>1.77</v>
      </c>
      <c r="K3982" s="1401">
        <v>2</v>
      </c>
      <c r="L3982" s="1399">
        <f>INT(base[[#This Row],[Data de liquidação]])</f>
        <v>46264</v>
      </c>
      <c r="M3982" s="1401">
        <f>base[[#This Row],[L/P Bruto]]-base[[#This Row],[L/P Líquido]]</f>
        <v>0</v>
      </c>
      <c r="N3982" s="1401">
        <f>base[[#This Row],[L/P Líquido]]/base[[#This Row],[Stake/Responsabilidade]]</f>
        <v>-1</v>
      </c>
      <c r="O3982" s="1403">
        <f>IF(base[[#This Row],[L/P Líquido]]&gt;0,1,0)</f>
        <v>0</v>
      </c>
      <c r="P3982" s="1403"/>
      <c r="Q3982" s="1403" t="str">
        <f>LEFT(base[[#This Row],[Evento / Mercado]],FIND("vs",base[[#This Row],[Evento / Mercado]])-2)</f>
        <v>Club Guaraní</v>
      </c>
      <c r="R398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03" t="str">
        <f>LEFT(base[[#This Row],[Evento / Mercado]],FIND("/",base[[#This Row],[Evento / Mercado]])-2)</f>
        <v>Club Guaraní vs Club Sportivo Ameliano</v>
      </c>
      <c r="T3982" s="1404">
        <f>base[[#This Row],[Data de liquidação]]</f>
        <v>46264.849479166667</v>
      </c>
    </row>
    <row r="3983" spans="2:22" ht="15" customHeight="1">
      <c r="B3983" s="1398" t="s">
        <v>4632</v>
      </c>
      <c r="C3983" s="859" t="s">
        <v>3510</v>
      </c>
      <c r="D3983" s="1399">
        <v>46264.855532407404</v>
      </c>
      <c r="E3983" s="1400">
        <v>41.38</v>
      </c>
      <c r="F3983" s="583">
        <v>4.4999999999999998E-2</v>
      </c>
      <c r="G3983" s="1401">
        <f t="shared" si="157"/>
        <v>43.329842931937179</v>
      </c>
      <c r="H3983" s="1401" t="s">
        <v>3292</v>
      </c>
      <c r="I3983" s="1402" t="s">
        <v>626</v>
      </c>
      <c r="J3983" s="1401">
        <v>13</v>
      </c>
      <c r="K3983" s="1401">
        <v>519.96</v>
      </c>
      <c r="L3983" s="1399">
        <f>INT(base[[#This Row],[Data de liquidação]])</f>
        <v>46264</v>
      </c>
      <c r="M3983" s="1401">
        <f>base[[#This Row],[L/P Bruto]]-base[[#This Row],[L/P Líquido]]</f>
        <v>1.9498429319371766</v>
      </c>
      <c r="N3983" s="1401">
        <f>base[[#This Row],[L/P Líquido]]/base[[#This Row],[Stake/Responsabilidade]]</f>
        <v>7.958304484960381E-2</v>
      </c>
      <c r="O3983" s="1403">
        <f>IF(base[[#This Row],[L/P Líquido]]&gt;0,1,0)</f>
        <v>1</v>
      </c>
      <c r="P3983" s="1403"/>
      <c r="Q3983" s="1403" t="str">
        <f>LEFT(base[[#This Row],[Evento / Mercado]],FIND("vs",base[[#This Row],[Evento / Mercado]])-2)</f>
        <v>Mirassol FC</v>
      </c>
      <c r="R398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03" t="str">
        <f>LEFT(base[[#This Row],[Evento / Mercado]],FIND("/",base[[#This Row],[Evento / Mercado]])-2)</f>
        <v>Mirassol FC vs Palmeiras</v>
      </c>
      <c r="T3983" s="1404">
        <f>base[[#This Row],[Data de liquidação]]</f>
        <v>46264.855532407404</v>
      </c>
    </row>
    <row r="3984" spans="2:22" ht="15" customHeight="1">
      <c r="B3984" s="1398" t="s">
        <v>4631</v>
      </c>
      <c r="C3984" s="859" t="s">
        <v>3510</v>
      </c>
      <c r="D3984" s="1399">
        <v>46264.958993055552</v>
      </c>
      <c r="E3984" s="1400">
        <v>1.47</v>
      </c>
      <c r="F3984" s="583">
        <v>4.4999999999999998E-2</v>
      </c>
      <c r="G3984" s="1401">
        <f t="shared" si="157"/>
        <v>1.5392670157068062</v>
      </c>
      <c r="H3984" s="1365" t="s">
        <v>1644</v>
      </c>
      <c r="I3984" s="1387" t="s">
        <v>3291</v>
      </c>
      <c r="J3984" s="1401">
        <v>1.77</v>
      </c>
      <c r="K3984" s="1401">
        <v>2</v>
      </c>
      <c r="L3984" s="1399">
        <f>INT(base[[#This Row],[Data de liquidação]])</f>
        <v>46264</v>
      </c>
      <c r="M3984" s="1401">
        <f>base[[#This Row],[L/P Bruto]]-base[[#This Row],[L/P Líquido]]</f>
        <v>6.9267015706806268E-2</v>
      </c>
      <c r="N3984" s="1401">
        <f>base[[#This Row],[L/P Líquido]]/base[[#This Row],[Stake/Responsabilidade]]</f>
        <v>0.73499999999999999</v>
      </c>
      <c r="O3984" s="1403">
        <f>IF(base[[#This Row],[L/P Líquido]]&gt;0,1,0)</f>
        <v>1</v>
      </c>
      <c r="P3984" s="1403"/>
      <c r="Q3984" s="1403" t="str">
        <f>LEFT(base[[#This Row],[Evento / Mercado]],FIND("vs",base[[#This Row],[Evento / Mercado]])-2)</f>
        <v>Independiente Rivadavia</v>
      </c>
      <c r="R398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03" t="str">
        <f>LEFT(base[[#This Row],[Evento / Mercado]],FIND("/",base[[#This Row],[Evento / Mercado]])-2)</f>
        <v>Independiente Rivadavia vs Racing Club</v>
      </c>
      <c r="T3984" s="1404">
        <f>base[[#This Row],[Data de liquidação]]</f>
        <v>46264.958993055552</v>
      </c>
    </row>
    <row r="3985" spans="2:20" ht="15" customHeight="1">
      <c r="B3985" s="1405" t="s">
        <v>4673</v>
      </c>
      <c r="C3985" s="859" t="s">
        <v>3510</v>
      </c>
      <c r="D3985" s="1406">
        <v>46265.525567129633</v>
      </c>
      <c r="E3985" s="1407">
        <v>9.85</v>
      </c>
      <c r="F3985" s="583">
        <v>4.4999999999999998E-2</v>
      </c>
      <c r="G3985" s="1408">
        <f t="shared" ref="G3985:G3992" si="162">IF(E3985&gt;0,E3985/(1-F3985),E3985)</f>
        <v>10.31413612565445</v>
      </c>
      <c r="H3985" s="1365" t="s">
        <v>1644</v>
      </c>
      <c r="I3985" s="1402" t="s">
        <v>2272</v>
      </c>
      <c r="J3985" s="1408">
        <v>1.52</v>
      </c>
      <c r="K3985" s="1408">
        <v>20</v>
      </c>
      <c r="L3985" s="1406">
        <f>INT(base[[#This Row],[Data de liquidação]])</f>
        <v>46265</v>
      </c>
      <c r="M3985" s="1408">
        <f>base[[#This Row],[L/P Bruto]]-base[[#This Row],[L/P Líquido]]</f>
        <v>0.46413612565445028</v>
      </c>
      <c r="N3985" s="1408">
        <f>base[[#This Row],[L/P Líquido]]/base[[#This Row],[Stake/Responsabilidade]]</f>
        <v>0.49249999999999999</v>
      </c>
      <c r="O3985" s="1410">
        <f>IF(base[[#This Row],[L/P Líquido]]&gt;0,1,0)</f>
        <v>1</v>
      </c>
      <c r="P3985" s="1410"/>
      <c r="Q3985" s="1410" t="str">
        <f>LEFT(base[[#This Row],[Evento / Mercado]],FIND("vs",base[[#This Row],[Evento / Mercado]])-2)</f>
        <v>Asyut Petroleum</v>
      </c>
      <c r="R398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National Bank</v>
      </c>
      <c r="S3985" s="1410" t="str">
        <f>LEFT(base[[#This Row],[Evento / Mercado]],FIND("/",base[[#This Row],[Evento / Mercado]])-2)</f>
        <v>Asyut Petroleum vs National Bank</v>
      </c>
      <c r="T3985" s="1411">
        <f>base[[#This Row],[Data de liquidação]]</f>
        <v>46265.525567129633</v>
      </c>
    </row>
    <row r="3986" spans="2:20" ht="15" customHeight="1">
      <c r="B3986" s="1405" t="s">
        <v>4672</v>
      </c>
      <c r="C3986" s="859" t="s">
        <v>3510</v>
      </c>
      <c r="D3986" s="1406">
        <v>46265.560925925929</v>
      </c>
      <c r="E3986" s="1407">
        <v>15.2</v>
      </c>
      <c r="F3986" s="583">
        <v>4.4999999999999998E-2</v>
      </c>
      <c r="G3986" s="1408">
        <f t="shared" si="162"/>
        <v>15.916230366492147</v>
      </c>
      <c r="H3986" s="1408" t="s">
        <v>3292</v>
      </c>
      <c r="I3986" s="1409" t="s">
        <v>693</v>
      </c>
      <c r="J3986" s="1408">
        <v>36</v>
      </c>
      <c r="K3986" s="1408">
        <v>557.17999999999995</v>
      </c>
      <c r="L3986" s="1406">
        <f>INT(base[[#This Row],[Data de liquidação]])</f>
        <v>46265</v>
      </c>
      <c r="M3986" s="1408">
        <f>base[[#This Row],[L/P Bruto]]-base[[#This Row],[L/P Líquido]]</f>
        <v>0.71623036649214811</v>
      </c>
      <c r="N3986" s="1408">
        <f>base[[#This Row],[L/P Líquido]]/base[[#This Row],[Stake/Responsabilidade]]</f>
        <v>2.7280232599877958E-2</v>
      </c>
      <c r="O3986" s="1410">
        <f>IF(base[[#This Row],[L/P Líquido]]&gt;0,1,0)</f>
        <v>1</v>
      </c>
      <c r="P3986" s="1410"/>
      <c r="Q3986" s="1410" t="str">
        <f>LEFT(base[[#This Row],[Evento / Mercado]],FIND("vs",base[[#This Row],[Evento / Mercado]])-2)</f>
        <v>FK Liepaja</v>
      </c>
      <c r="R398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986" s="1410" t="str">
        <f>LEFT(base[[#This Row],[Evento / Mercado]],FIND("/",base[[#This Row],[Evento / Mercado]])-2)</f>
        <v>FK Liepaja vs Riga FC</v>
      </c>
      <c r="T3986" s="1411">
        <f>base[[#This Row],[Data de liquidação]]</f>
        <v>46265.560925925929</v>
      </c>
    </row>
    <row r="3987" spans="2:20" ht="15" customHeight="1">
      <c r="B3987" s="1405" t="s">
        <v>4671</v>
      </c>
      <c r="C3987" s="859" t="s">
        <v>3510</v>
      </c>
      <c r="D3987" s="1406">
        <v>46265.660856481481</v>
      </c>
      <c r="E3987" s="1407">
        <v>-570</v>
      </c>
      <c r="F3987" s="583">
        <v>4.4999999999999998E-2</v>
      </c>
      <c r="G3987" s="1408">
        <f t="shared" si="162"/>
        <v>-570</v>
      </c>
      <c r="H3987" s="1408" t="s">
        <v>3292</v>
      </c>
      <c r="I3987" s="1409" t="s">
        <v>626</v>
      </c>
      <c r="J3987" s="1408">
        <v>25</v>
      </c>
      <c r="K3987" s="1408">
        <v>570</v>
      </c>
      <c r="L3987" s="1406">
        <f>INT(base[[#This Row],[Data de liquidação]])</f>
        <v>46265</v>
      </c>
      <c r="M3987" s="1408">
        <f>base[[#This Row],[L/P Bruto]]-base[[#This Row],[L/P Líquido]]</f>
        <v>0</v>
      </c>
      <c r="N3987" s="1408">
        <f>base[[#This Row],[L/P Líquido]]/base[[#This Row],[Stake/Responsabilidade]]</f>
        <v>-1</v>
      </c>
      <c r="O3987" s="1410">
        <f>IF(base[[#This Row],[L/P Líquido]]&gt;0,1,0)</f>
        <v>0</v>
      </c>
      <c r="P3987" s="1410"/>
      <c r="Q3987" s="1410" t="str">
        <f>LEFT(base[[#This Row],[Evento / Mercado]],FIND("vs",base[[#This Row],[Evento / Mercado]])-2)</f>
        <v>IK Sirius</v>
      </c>
      <c r="R398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7" s="1410" t="str">
        <f>LEFT(base[[#This Row],[Evento / Mercado]],FIND("/",base[[#This Row],[Evento / Mercado]])-2)</f>
        <v>IK Sirius vs Malmö FF</v>
      </c>
      <c r="T3987" s="1411">
        <f>base[[#This Row],[Data de liquidação]]</f>
        <v>46265.660856481481</v>
      </c>
    </row>
    <row r="3988" spans="2:20" ht="15" customHeight="1">
      <c r="B3988" s="1405" t="s">
        <v>4670</v>
      </c>
      <c r="C3988" s="859" t="s">
        <v>3510</v>
      </c>
      <c r="D3988" s="1406">
        <v>46265.66097222222</v>
      </c>
      <c r="E3988" s="1407">
        <v>-5</v>
      </c>
      <c r="F3988" s="583">
        <v>4.4999999999999998E-2</v>
      </c>
      <c r="G3988" s="1408">
        <f t="shared" si="162"/>
        <v>-5</v>
      </c>
      <c r="H3988" s="1365" t="s">
        <v>1644</v>
      </c>
      <c r="I3988" s="1387" t="s">
        <v>3291</v>
      </c>
      <c r="J3988" s="1408">
        <v>1.96</v>
      </c>
      <c r="K3988" s="1408">
        <v>5</v>
      </c>
      <c r="L3988" s="1406">
        <f>INT(base[[#This Row],[Data de liquidação]])</f>
        <v>46265</v>
      </c>
      <c r="M3988" s="1408">
        <f>base[[#This Row],[L/P Bruto]]-base[[#This Row],[L/P Líquido]]</f>
        <v>0</v>
      </c>
      <c r="N3988" s="1408">
        <f>base[[#This Row],[L/P Líquido]]/base[[#This Row],[Stake/Responsabilidade]]</f>
        <v>-1</v>
      </c>
      <c r="O3988" s="1410">
        <f>IF(base[[#This Row],[L/P Líquido]]&gt;0,1,0)</f>
        <v>0</v>
      </c>
      <c r="P3988" s="1410"/>
      <c r="Q3988" s="1410" t="str">
        <f>LEFT(base[[#This Row],[Evento / Mercado]],FIND("vs",base[[#This Row],[Evento / Mercado]])-2)</f>
        <v>IK Sirius</v>
      </c>
      <c r="R398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8" s="1410" t="str">
        <f>LEFT(base[[#This Row],[Evento / Mercado]],FIND("/",base[[#This Row],[Evento / Mercado]])-2)</f>
        <v>IK Sirius vs Malmö FF</v>
      </c>
      <c r="T3988" s="1411">
        <f>base[[#This Row],[Data de liquidação]]</f>
        <v>46265.66097222222</v>
      </c>
    </row>
    <row r="3989" spans="2:20" ht="15" customHeight="1">
      <c r="B3989" s="1405" t="s">
        <v>4669</v>
      </c>
      <c r="C3989" s="859" t="s">
        <v>3510</v>
      </c>
      <c r="D3989" s="1406">
        <v>46265.756932870368</v>
      </c>
      <c r="E3989" s="1407">
        <v>17.11</v>
      </c>
      <c r="F3989" s="583">
        <v>4.4999999999999998E-2</v>
      </c>
      <c r="G3989" s="1408">
        <f t="shared" si="162"/>
        <v>17.916230366492147</v>
      </c>
      <c r="H3989" s="1401" t="s">
        <v>3365</v>
      </c>
      <c r="I3989" s="1402" t="s">
        <v>391</v>
      </c>
      <c r="J3989" s="1408">
        <v>25</v>
      </c>
      <c r="K3989" s="1408">
        <v>430.08</v>
      </c>
      <c r="L3989" s="1406">
        <f>INT(base[[#This Row],[Data de liquidação]])</f>
        <v>46265</v>
      </c>
      <c r="M3989" s="1408">
        <f>base[[#This Row],[L/P Bruto]]-base[[#This Row],[L/P Líquido]]</f>
        <v>0.80623036649214797</v>
      </c>
      <c r="N3989" s="1408">
        <f>base[[#This Row],[L/P Líquido]]/base[[#This Row],[Stake/Responsabilidade]]</f>
        <v>3.9783296130952384E-2</v>
      </c>
      <c r="O3989" s="1410">
        <f>IF(base[[#This Row],[L/P Líquido]]&gt;0,1,0)</f>
        <v>1</v>
      </c>
      <c r="P3989" s="1412" t="s">
        <v>1202</v>
      </c>
      <c r="Q3989" s="1410" t="str">
        <f>LEFT(base[[#This Row],[Evento / Mercado]],FIND("vs",base[[#This Row],[Evento / Mercado]])-2)</f>
        <v>Benfica</v>
      </c>
      <c r="R398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3989" s="1410" t="str">
        <f>LEFT(base[[#This Row],[Evento / Mercado]],FIND("/",base[[#This Row],[Evento / Mercado]])-2)</f>
        <v>Benfica vs Estoril-Praia</v>
      </c>
      <c r="T3989" s="1411">
        <f>base[[#This Row],[Data de liquidação]]</f>
        <v>46265.756932870368</v>
      </c>
    </row>
    <row r="3990" spans="2:20" ht="15" customHeight="1">
      <c r="B3990" s="1405" t="s">
        <v>4668</v>
      </c>
      <c r="C3990" s="859" t="s">
        <v>3510</v>
      </c>
      <c r="D3990" s="1406">
        <v>46265.771087962959</v>
      </c>
      <c r="E3990" s="1407">
        <v>14.67</v>
      </c>
      <c r="F3990" s="583">
        <v>4.4999999999999998E-2</v>
      </c>
      <c r="G3990" s="1408">
        <f t="shared" si="162"/>
        <v>15.361256544502618</v>
      </c>
      <c r="H3990" s="1401" t="s">
        <v>3365</v>
      </c>
      <c r="I3990" s="1402" t="s">
        <v>391</v>
      </c>
      <c r="J3990" s="1408">
        <v>29</v>
      </c>
      <c r="K3990" s="1408">
        <v>430.08</v>
      </c>
      <c r="L3990" s="1406">
        <f>INT(base[[#This Row],[Data de liquidação]])</f>
        <v>46265</v>
      </c>
      <c r="M3990" s="1408">
        <f>base[[#This Row],[L/P Bruto]]-base[[#This Row],[L/P Líquido]]</f>
        <v>0.6912565445026182</v>
      </c>
      <c r="N3990" s="1408">
        <f>base[[#This Row],[L/P Líquido]]/base[[#This Row],[Stake/Responsabilidade]]</f>
        <v>3.4109933035714288E-2</v>
      </c>
      <c r="O3990" s="1410">
        <f>IF(base[[#This Row],[L/P Líquido]]&gt;0,1,0)</f>
        <v>1</v>
      </c>
      <c r="P3990" s="1412" t="s">
        <v>1201</v>
      </c>
      <c r="Q3990" s="1410" t="str">
        <f>LEFT(base[[#This Row],[Evento / Mercado]],FIND("vs",base[[#This Row],[Evento / Mercado]])-2)</f>
        <v>FC Barcelona</v>
      </c>
      <c r="R399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3990" s="1410" t="str">
        <f>LEFT(base[[#This Row],[Evento / Mercado]],FIND("/",base[[#This Row],[Evento / Mercado]])-2)</f>
        <v>FC Barcelona vs Rayo Vallecano</v>
      </c>
      <c r="T3990" s="1411">
        <f>base[[#This Row],[Data de liquidação]]</f>
        <v>46265.771087962959</v>
      </c>
    </row>
    <row r="3991" spans="2:20" ht="15" customHeight="1">
      <c r="B3991" s="1405" t="s">
        <v>4667</v>
      </c>
      <c r="C3991" s="859" t="s">
        <v>3510</v>
      </c>
      <c r="D3991" s="1406">
        <v>46265.883287037039</v>
      </c>
      <c r="E3991" s="1407">
        <v>-5</v>
      </c>
      <c r="F3991" s="583">
        <v>4.4999999999999998E-2</v>
      </c>
      <c r="G3991" s="1408">
        <f t="shared" si="162"/>
        <v>-5</v>
      </c>
      <c r="H3991" s="1365" t="s">
        <v>1644</v>
      </c>
      <c r="I3991" s="1387" t="s">
        <v>3291</v>
      </c>
      <c r="J3991" s="1408">
        <v>2.08</v>
      </c>
      <c r="K3991" s="1408">
        <v>5</v>
      </c>
      <c r="L3991" s="1406">
        <f>INT(base[[#This Row],[Data de liquidação]])</f>
        <v>46265</v>
      </c>
      <c r="M3991" s="1408">
        <f>base[[#This Row],[L/P Bruto]]-base[[#This Row],[L/P Líquido]]</f>
        <v>0</v>
      </c>
      <c r="N3991" s="1408">
        <f>base[[#This Row],[L/P Líquido]]/base[[#This Row],[Stake/Responsabilidade]]</f>
        <v>-1</v>
      </c>
      <c r="O3991" s="1410">
        <f>IF(base[[#This Row],[L/P Líquido]]&gt;0,1,0)</f>
        <v>0</v>
      </c>
      <c r="P3991" s="1410"/>
      <c r="Q3991" s="1410" t="str">
        <f>LEFT(base[[#This Row],[Evento / Mercado]],FIND("vs",base[[#This Row],[Evento / Mercado]])-2)</f>
        <v>Unión La Calera</v>
      </c>
      <c r="R399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991" s="1410" t="str">
        <f>LEFT(base[[#This Row],[Evento / Mercado]],FIND("/",base[[#This Row],[Evento / Mercado]])-2)</f>
        <v>Unión La Calera vs La Serena</v>
      </c>
      <c r="T3991" s="1411">
        <f>base[[#This Row],[Data de liquidação]]</f>
        <v>46265.883287037039</v>
      </c>
    </row>
    <row r="3992" spans="2:20" ht="15" customHeight="1">
      <c r="B3992" s="1405" t="s">
        <v>4666</v>
      </c>
      <c r="C3992" s="859" t="s">
        <v>3510</v>
      </c>
      <c r="D3992" s="1406">
        <v>46265.895648148151</v>
      </c>
      <c r="E3992" s="1407">
        <v>7.64</v>
      </c>
      <c r="F3992" s="583">
        <v>4.4999999999999998E-2</v>
      </c>
      <c r="G3992" s="1408">
        <f t="shared" si="162"/>
        <v>8</v>
      </c>
      <c r="H3992" s="1434" t="s">
        <v>4683</v>
      </c>
      <c r="I3992" s="1409" t="s">
        <v>626</v>
      </c>
      <c r="J3992" s="1408">
        <v>13.5</v>
      </c>
      <c r="K3992" s="1408">
        <v>100</v>
      </c>
      <c r="L3992" s="1406">
        <f>INT(base[[#This Row],[Data de liquidação]])</f>
        <v>46265</v>
      </c>
      <c r="M3992" s="1408">
        <f>base[[#This Row],[L/P Bruto]]-base[[#This Row],[L/P Líquido]]</f>
        <v>0.36000000000000032</v>
      </c>
      <c r="N3992" s="1408">
        <f>base[[#This Row],[L/P Líquido]]/base[[#This Row],[Stake/Responsabilidade]]</f>
        <v>7.6399999999999996E-2</v>
      </c>
      <c r="O3992" s="1410">
        <f>IF(base[[#This Row],[L/P Líquido]]&gt;0,1,0)</f>
        <v>1</v>
      </c>
      <c r="P3992" s="1410"/>
      <c r="Q3992" s="1410" t="str">
        <f>LEFT(base[[#This Row],[Evento / Mercado]],FIND("vs",base[[#This Row],[Evento / Mercado]])-2)</f>
        <v>Fortaleza EC</v>
      </c>
      <c r="R399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3992" s="1410" t="str">
        <f>LEFT(base[[#This Row],[Evento / Mercado]],FIND("/",base[[#This Row],[Evento / Mercado]])-2)</f>
        <v>Fortaleza EC vs Operário Ferroviário</v>
      </c>
      <c r="T3992" s="1411">
        <f>base[[#This Row],[Data de liquidação]]</f>
        <v>46265.895648148151</v>
      </c>
    </row>
    <row r="3993" spans="2:20" ht="15" customHeight="1">
      <c r="B3993" s="1413" t="s">
        <v>4679</v>
      </c>
      <c r="C3993" s="859" t="s">
        <v>3510</v>
      </c>
      <c r="D3993" s="1414">
        <v>46266.681944444441</v>
      </c>
      <c r="E3993" s="1415">
        <v>-20</v>
      </c>
      <c r="F3993" s="583">
        <v>4.4999999999999998E-2</v>
      </c>
      <c r="G3993" s="1416">
        <f t="shared" ref="G3993:G3998" si="163">IF(E3993&gt;0,E3993/(1-F3993),E3993)</f>
        <v>-20</v>
      </c>
      <c r="H3993" s="1365" t="s">
        <v>1644</v>
      </c>
      <c r="I3993" s="1402" t="s">
        <v>2272</v>
      </c>
      <c r="J3993" s="1416">
        <v>1.56</v>
      </c>
      <c r="K3993" s="1416">
        <v>20</v>
      </c>
      <c r="L3993" s="1414">
        <f>INT(base[[#This Row],[Data de liquidação]])</f>
        <v>46266</v>
      </c>
      <c r="M3993" s="1416">
        <f>base[[#This Row],[L/P Bruto]]-base[[#This Row],[L/P Líquido]]</f>
        <v>0</v>
      </c>
      <c r="N3993" s="1416">
        <f>base[[#This Row],[L/P Líquido]]/base[[#This Row],[Stake/Responsabilidade]]</f>
        <v>-1</v>
      </c>
      <c r="O3993" s="1417">
        <f>IF(base[[#This Row],[L/P Líquido]]&gt;0,1,0)</f>
        <v>0</v>
      </c>
      <c r="P3993" s="1417"/>
      <c r="Q3993" s="1417" t="str">
        <f>LEFT(base[[#This Row],[Evento / Mercado]],FIND("vs",base[[#This Row],[Evento / Mercado]])-2)</f>
        <v>Durban City FC</v>
      </c>
      <c r="R3993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Stellenbosch FC</v>
      </c>
      <c r="S3993" s="1417" t="str">
        <f>LEFT(base[[#This Row],[Evento / Mercado]],FIND("/",base[[#This Row],[Evento / Mercado]])-2)</f>
        <v>Durban City FC vs Stellenbosch FC</v>
      </c>
      <c r="T3993" s="1418">
        <f>base[[#This Row],[Data de liquidação]]</f>
        <v>46266.681944444441</v>
      </c>
    </row>
    <row r="3994" spans="2:20" ht="15" customHeight="1">
      <c r="B3994" s="1413" t="s">
        <v>4678</v>
      </c>
      <c r="C3994" s="859" t="s">
        <v>3510</v>
      </c>
      <c r="D3994" s="1414">
        <v>46266.710312499999</v>
      </c>
      <c r="E3994" s="1415">
        <v>9.9499999999999993</v>
      </c>
      <c r="F3994" s="583">
        <v>4.4999999999999998E-2</v>
      </c>
      <c r="G3994" s="1416">
        <f t="shared" si="163"/>
        <v>10.418848167539267</v>
      </c>
      <c r="H3994" s="1365" t="s">
        <v>1644</v>
      </c>
      <c r="I3994" s="1402" t="s">
        <v>2272</v>
      </c>
      <c r="J3994" s="1416">
        <v>1.52</v>
      </c>
      <c r="K3994" s="1416">
        <v>20</v>
      </c>
      <c r="L3994" s="1414">
        <f>INT(base[[#This Row],[Data de liquidação]])</f>
        <v>46266</v>
      </c>
      <c r="M3994" s="1416">
        <f>base[[#This Row],[L/P Bruto]]-base[[#This Row],[L/P Líquido]]</f>
        <v>0.46884816753926728</v>
      </c>
      <c r="N3994" s="1416">
        <f>base[[#This Row],[L/P Líquido]]/base[[#This Row],[Stake/Responsabilidade]]</f>
        <v>0.49749999999999994</v>
      </c>
      <c r="O3994" s="1417">
        <f>IF(base[[#This Row],[L/P Líquido]]&gt;0,1,0)</f>
        <v>1</v>
      </c>
      <c r="P3994" s="1417"/>
      <c r="Q3994" s="1417" t="str">
        <f>LEFT(base[[#This Row],[Evento / Mercado]],FIND("vs",base[[#This Row],[Evento / Mercado]])-2)</f>
        <v>Bradford City</v>
      </c>
      <c r="R3994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3994" s="1417" t="str">
        <f>LEFT(base[[#This Row],[Evento / Mercado]],FIND("/",base[[#This Row],[Evento / Mercado]])-2)</f>
        <v>Bradford City vs Cambridge United</v>
      </c>
      <c r="T3994" s="1418">
        <f>base[[#This Row],[Data de liquidação]]</f>
        <v>46266.710312499999</v>
      </c>
    </row>
    <row r="3995" spans="2:20" ht="15" customHeight="1">
      <c r="B3995" s="1413" t="s">
        <v>4677</v>
      </c>
      <c r="C3995" s="859" t="s">
        <v>3510</v>
      </c>
      <c r="D3995" s="1414">
        <v>46266.718935185185</v>
      </c>
      <c r="E3995" s="1415">
        <v>76.81</v>
      </c>
      <c r="F3995" s="583">
        <v>4.4999999999999998E-2</v>
      </c>
      <c r="G3995" s="1416">
        <f t="shared" si="163"/>
        <v>80.429319371727757</v>
      </c>
      <c r="H3995" s="1401" t="s">
        <v>314</v>
      </c>
      <c r="I3995" s="1402" t="s">
        <v>349</v>
      </c>
      <c r="J3995" s="1416">
        <v>1.67</v>
      </c>
      <c r="K3995" s="1416">
        <v>120</v>
      </c>
      <c r="L3995" s="1414">
        <f>INT(base[[#This Row],[Data de liquidação]])</f>
        <v>46266</v>
      </c>
      <c r="M3995" s="1416">
        <f>base[[#This Row],[L/P Bruto]]-base[[#This Row],[L/P Líquido]]</f>
        <v>3.6193193717277552</v>
      </c>
      <c r="N3995" s="1416">
        <f>base[[#This Row],[L/P Líquido]]/base[[#This Row],[Stake/Responsabilidade]]</f>
        <v>0.64008333333333334</v>
      </c>
      <c r="O3995" s="1417">
        <f>IF(base[[#This Row],[L/P Líquido]]&gt;0,1,0)</f>
        <v>1</v>
      </c>
      <c r="P3995" s="1417"/>
      <c r="Q3995" s="1417" t="str">
        <f>LEFT(base[[#This Row],[Evento / Mercado]],FIND("vs",base[[#This Row],[Evento / Mercado]])-2)</f>
        <v>Birmingham City</v>
      </c>
      <c r="R3995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995" s="1417" t="str">
        <f>LEFT(base[[#This Row],[Evento / Mercado]],FIND("/",base[[#This Row],[Evento / Mercado]])-2)</f>
        <v>Birmingham City vs Southampton</v>
      </c>
      <c r="T3995" s="1418">
        <f>base[[#This Row],[Data de liquidação]]</f>
        <v>46266.718935185185</v>
      </c>
    </row>
    <row r="3996" spans="2:20" ht="15" customHeight="1">
      <c r="B3996" s="1413" t="s">
        <v>4676</v>
      </c>
      <c r="C3996" s="859" t="s">
        <v>3510</v>
      </c>
      <c r="D3996" s="1414">
        <v>46266.73641203704</v>
      </c>
      <c r="E3996" s="1415">
        <v>-5</v>
      </c>
      <c r="F3996" s="583">
        <v>4.4999999999999998E-2</v>
      </c>
      <c r="G3996" s="1416">
        <f t="shared" si="163"/>
        <v>-5</v>
      </c>
      <c r="H3996" s="1365" t="s">
        <v>1644</v>
      </c>
      <c r="I3996" s="1387" t="s">
        <v>3291</v>
      </c>
      <c r="J3996" s="1416">
        <v>1.72</v>
      </c>
      <c r="K3996" s="1416">
        <v>5</v>
      </c>
      <c r="L3996" s="1414">
        <f>INT(base[[#This Row],[Data de liquidação]])</f>
        <v>46266</v>
      </c>
      <c r="M3996" s="1416">
        <f>base[[#This Row],[L/P Bruto]]-base[[#This Row],[L/P Líquido]]</f>
        <v>0</v>
      </c>
      <c r="N3996" s="1416">
        <f>base[[#This Row],[L/P Líquido]]/base[[#This Row],[Stake/Responsabilidade]]</f>
        <v>-1</v>
      </c>
      <c r="O3996" s="1417">
        <f>IF(base[[#This Row],[L/P Líquido]]&gt;0,1,0)</f>
        <v>0</v>
      </c>
      <c r="P3996" s="1417"/>
      <c r="Q3996" s="1417" t="str">
        <f>LEFT(base[[#This Row],[Evento / Mercado]],FIND("vs",base[[#This Row],[Evento / Mercado]])-2)</f>
        <v>Portsmouth</v>
      </c>
      <c r="R3996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3996" s="1417" t="str">
        <f>LEFT(base[[#This Row],[Evento / Mercado]],FIND("/",base[[#This Row],[Evento / Mercado]])-2)</f>
        <v>Portsmouth vs Derby County</v>
      </c>
      <c r="T3996" s="1418">
        <f>base[[#This Row],[Data de liquidação]]</f>
        <v>46266.73641203704</v>
      </c>
    </row>
    <row r="3997" spans="2:20" ht="15" customHeight="1">
      <c r="B3997" s="1413" t="s">
        <v>4675</v>
      </c>
      <c r="C3997" s="859" t="s">
        <v>3510</v>
      </c>
      <c r="D3997" s="1414">
        <v>46266.890335648146</v>
      </c>
      <c r="E3997" s="1415">
        <v>12.57</v>
      </c>
      <c r="F3997" s="583">
        <v>4.4999999999999998E-2</v>
      </c>
      <c r="G3997" s="1416">
        <f t="shared" si="163"/>
        <v>13.162303664921467</v>
      </c>
      <c r="H3997" s="1365" t="s">
        <v>1644</v>
      </c>
      <c r="I3997" s="1433" t="s">
        <v>4682</v>
      </c>
      <c r="J3997" s="1416">
        <v>8.6</v>
      </c>
      <c r="K3997" s="1416">
        <v>100.02</v>
      </c>
      <c r="L3997" s="1414">
        <f>INT(base[[#This Row],[Data de liquidação]])</f>
        <v>46266</v>
      </c>
      <c r="M3997" s="1416">
        <f>base[[#This Row],[L/P Bruto]]-base[[#This Row],[L/P Líquido]]</f>
        <v>0.59230366492146658</v>
      </c>
      <c r="N3997" s="1416">
        <f>base[[#This Row],[L/P Líquido]]/base[[#This Row],[Stake/Responsabilidade]]</f>
        <v>0.1256748650269946</v>
      </c>
      <c r="O3997" s="1417">
        <f>IF(base[[#This Row],[L/P Líquido]]&gt;0,1,0)</f>
        <v>1</v>
      </c>
      <c r="P3997" s="1417"/>
      <c r="Q3997" s="1417" t="str">
        <f>LEFT(base[[#This Row],[Evento / Mercado]],FIND("vs",base[[#This Row],[Evento / Mercado]])-2)</f>
        <v>Londrina</v>
      </c>
      <c r="R3997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7" s="1417" t="str">
        <f>LEFT(base[[#This Row],[Evento / Mercado]],FIND("/",base[[#This Row],[Evento / Mercado]])-2)</f>
        <v>Londrina vs EC Juventude</v>
      </c>
      <c r="T3997" s="1418">
        <f>base[[#This Row],[Data de liquidação]]</f>
        <v>46266.890335648146</v>
      </c>
    </row>
    <row r="3998" spans="2:20" ht="15" customHeight="1">
      <c r="B3998" s="1413" t="s">
        <v>4674</v>
      </c>
      <c r="C3998" s="859" t="s">
        <v>3510</v>
      </c>
      <c r="D3998" s="1414">
        <v>46266.890474537038</v>
      </c>
      <c r="E3998" s="1415">
        <v>-20</v>
      </c>
      <c r="F3998" s="583">
        <v>4.4999999999999998E-2</v>
      </c>
      <c r="G3998" s="1416">
        <f t="shared" si="163"/>
        <v>-20</v>
      </c>
      <c r="H3998" s="1365" t="s">
        <v>1644</v>
      </c>
      <c r="I3998" s="1402" t="s">
        <v>2272</v>
      </c>
      <c r="J3998" s="1416">
        <v>1.51</v>
      </c>
      <c r="K3998" s="1416">
        <v>20</v>
      </c>
      <c r="L3998" s="1414">
        <f>INT(base[[#This Row],[Data de liquidação]])</f>
        <v>46266</v>
      </c>
      <c r="M3998" s="1416">
        <f>base[[#This Row],[L/P Bruto]]-base[[#This Row],[L/P Líquido]]</f>
        <v>0</v>
      </c>
      <c r="N3998" s="1416">
        <f>base[[#This Row],[L/P Líquido]]/base[[#This Row],[Stake/Responsabilidade]]</f>
        <v>-1</v>
      </c>
      <c r="O3998" s="1417">
        <f>IF(base[[#This Row],[L/P Líquido]]&gt;0,1,0)</f>
        <v>0</v>
      </c>
      <c r="P3998" s="1417"/>
      <c r="Q3998" s="1417" t="str">
        <f>LEFT(base[[#This Row],[Evento / Mercado]],FIND("vs",base[[#This Row],[Evento / Mercado]])-2)</f>
        <v>Londrina</v>
      </c>
      <c r="R3998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8" s="1417" t="str">
        <f>LEFT(base[[#This Row],[Evento / Mercado]],FIND("/",base[[#This Row],[Evento / Mercado]])-2)</f>
        <v>Londrina vs EC Juventude</v>
      </c>
      <c r="T3998" s="1418">
        <f>base[[#This Row],[Data de liquidação]]</f>
        <v>46266.890474537038</v>
      </c>
    </row>
    <row r="3999" spans="2:20" ht="15" customHeight="1">
      <c r="B3999" s="1435" t="s">
        <v>4693</v>
      </c>
      <c r="C3999" s="859" t="s">
        <v>3510</v>
      </c>
      <c r="D3999" s="1436">
        <v>46267.372291666667</v>
      </c>
      <c r="E3999" s="1437">
        <v>11.65</v>
      </c>
      <c r="F3999" s="583">
        <v>4.4999999999999998E-2</v>
      </c>
      <c r="G3999" s="1438">
        <f t="shared" ref="G3999:G4008" si="164">IF(E3999&gt;0,E3999/(1-F3999),E3999)</f>
        <v>12.198952879581153</v>
      </c>
      <c r="H3999" s="1365" t="s">
        <v>1644</v>
      </c>
      <c r="I3999" s="1433" t="s">
        <v>4682</v>
      </c>
      <c r="J3999" s="1438">
        <v>9.1999999999999993</v>
      </c>
      <c r="K3999" s="1438">
        <v>100.04</v>
      </c>
      <c r="L3999" s="1436">
        <f>INT(base[[#This Row],[Data de liquidação]])</f>
        <v>46267</v>
      </c>
      <c r="M3999" s="1438">
        <f>base[[#This Row],[L/P Bruto]]-base[[#This Row],[L/P Líquido]]</f>
        <v>0.54895287958115269</v>
      </c>
      <c r="N3999" s="1438">
        <f>base[[#This Row],[L/P Líquido]]/base[[#This Row],[Stake/Responsabilidade]]</f>
        <v>0.11645341863254698</v>
      </c>
      <c r="O3999" s="1440">
        <f>IF(base[[#This Row],[L/P Líquido]]&gt;0,1,0)</f>
        <v>1</v>
      </c>
      <c r="P3999" s="1440"/>
      <c r="Q3999" s="1440" t="str">
        <f>LEFT(base[[#This Row],[Evento / Mercado]],FIND("vs",base[[#This Row],[Evento / Mercado]])-2)</f>
        <v>Shimizu S-Pulse</v>
      </c>
      <c r="R3999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3999" s="1440" t="str">
        <f>LEFT(base[[#This Row],[Evento / Mercado]],FIND("/",base[[#This Row],[Evento / Mercado]])-2)</f>
        <v>Shimizu S-Pulse vs FC Tokyo</v>
      </c>
      <c r="T3999" s="1441">
        <f>base[[#This Row],[Data de liquidação]]</f>
        <v>46267.372291666667</v>
      </c>
    </row>
    <row r="4000" spans="2:20" ht="15" customHeight="1">
      <c r="B4000" s="1435" t="s">
        <v>4692</v>
      </c>
      <c r="C4000" s="859" t="s">
        <v>3510</v>
      </c>
      <c r="D4000" s="1436">
        <v>46267.537766203706</v>
      </c>
      <c r="E4000" s="1437">
        <v>10.06</v>
      </c>
      <c r="F4000" s="583">
        <v>4.4999999999999998E-2</v>
      </c>
      <c r="G4000" s="1438">
        <f t="shared" si="164"/>
        <v>10.534031413612567</v>
      </c>
      <c r="H4000" s="1365" t="s">
        <v>1644</v>
      </c>
      <c r="I4000" s="1433" t="s">
        <v>4682</v>
      </c>
      <c r="J4000" s="1438">
        <v>10.5</v>
      </c>
      <c r="K4000" s="1438">
        <v>100.04</v>
      </c>
      <c r="L4000" s="1436">
        <f>INT(base[[#This Row],[Data de liquidação]])</f>
        <v>46267</v>
      </c>
      <c r="M4000" s="1438">
        <f>base[[#This Row],[L/P Bruto]]-base[[#This Row],[L/P Líquido]]</f>
        <v>0.47403141361256651</v>
      </c>
      <c r="N4000" s="1438">
        <f>base[[#This Row],[L/P Líquido]]/base[[#This Row],[Stake/Responsabilidade]]</f>
        <v>0.10055977608956418</v>
      </c>
      <c r="O4000" s="1440">
        <f>IF(base[[#This Row],[L/P Líquido]]&gt;0,1,0)</f>
        <v>1</v>
      </c>
      <c r="P4000" s="1440"/>
      <c r="Q4000" s="1440" t="str">
        <f>LEFT(base[[#This Row],[Evento / Mercado]],FIND("vs",base[[#This Row],[Evento / Mercado]])-2)</f>
        <v>Vanspor FK</v>
      </c>
      <c r="R4000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Batman Petrolspor</v>
      </c>
      <c r="S4000" s="1440" t="str">
        <f>LEFT(base[[#This Row],[Evento / Mercado]],FIND("/",base[[#This Row],[Evento / Mercado]])-2)</f>
        <v>Vanspor FK vs Batman Petrolspor</v>
      </c>
      <c r="T4000" s="1441">
        <f>base[[#This Row],[Data de liquidação]]</f>
        <v>46267.537766203706</v>
      </c>
    </row>
    <row r="4001" spans="2:20" ht="15" customHeight="1">
      <c r="B4001" s="1435" t="s">
        <v>4691</v>
      </c>
      <c r="C4001" s="859" t="s">
        <v>3510</v>
      </c>
      <c r="D4001" s="1436">
        <v>46267.594768518517</v>
      </c>
      <c r="E4001" s="1437">
        <v>9.5500000000000007</v>
      </c>
      <c r="F4001" s="583">
        <v>4.4999999999999998E-2</v>
      </c>
      <c r="G4001" s="1438">
        <f t="shared" si="164"/>
        <v>10.000000000000002</v>
      </c>
      <c r="H4001" s="1365" t="s">
        <v>1644</v>
      </c>
      <c r="I4001" s="1402" t="s">
        <v>2272</v>
      </c>
      <c r="J4001" s="1438">
        <v>1.5</v>
      </c>
      <c r="K4001" s="1438">
        <v>20</v>
      </c>
      <c r="L4001" s="1436">
        <f>INT(base[[#This Row],[Data de liquidação]])</f>
        <v>46267</v>
      </c>
      <c r="M4001" s="1438">
        <f>base[[#This Row],[L/P Bruto]]-base[[#This Row],[L/P Líquido]]</f>
        <v>0.45000000000000107</v>
      </c>
      <c r="N4001" s="1438">
        <f>base[[#This Row],[L/P Líquido]]/base[[#This Row],[Stake/Responsabilidade]]</f>
        <v>0.47750000000000004</v>
      </c>
      <c r="O4001" s="1440">
        <f>IF(base[[#This Row],[L/P Líquido]]&gt;0,1,0)</f>
        <v>1</v>
      </c>
      <c r="P4001" s="1440"/>
      <c r="Q4001" s="1440" t="str">
        <f>LEFT(base[[#This Row],[Evento / Mercado]],FIND("vs",base[[#This Row],[Evento / Mercado]])-2)</f>
        <v>FC Zbrojovka Brno</v>
      </c>
      <c r="R4001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Hradec Králové</v>
      </c>
      <c r="S4001" s="1440" t="str">
        <f>LEFT(base[[#This Row],[Evento / Mercado]],FIND("/",base[[#This Row],[Evento / Mercado]])-2)</f>
        <v>FC Zbrojovka Brno vs FC Hradec Králové</v>
      </c>
      <c r="T4001" s="1441">
        <f>base[[#This Row],[Data de liquidação]]</f>
        <v>46267.594768518517</v>
      </c>
    </row>
    <row r="4002" spans="2:20" ht="15" customHeight="1">
      <c r="B4002" s="1435" t="s">
        <v>4690</v>
      </c>
      <c r="C4002" s="859" t="s">
        <v>3510</v>
      </c>
      <c r="D4002" s="1436">
        <v>46267.718587962961</v>
      </c>
      <c r="E4002" s="1437">
        <v>5.35</v>
      </c>
      <c r="F4002" s="583">
        <v>4.4999999999999998E-2</v>
      </c>
      <c r="G4002" s="1438">
        <f t="shared" si="164"/>
        <v>5.6020942408376966</v>
      </c>
      <c r="H4002" s="1365" t="s">
        <v>1644</v>
      </c>
      <c r="I4002" s="1387" t="s">
        <v>3291</v>
      </c>
      <c r="J4002" s="1438">
        <v>2.12</v>
      </c>
      <c r="K4002" s="1438">
        <v>5</v>
      </c>
      <c r="L4002" s="1436">
        <f>INT(base[[#This Row],[Data de liquidação]])</f>
        <v>46267</v>
      </c>
      <c r="M4002" s="1438">
        <f>base[[#This Row],[L/P Bruto]]-base[[#This Row],[L/P Líquido]]</f>
        <v>0.25209424083769694</v>
      </c>
      <c r="N4002" s="1438">
        <f>base[[#This Row],[L/P Líquido]]/base[[#This Row],[Stake/Responsabilidade]]</f>
        <v>1.0699999999999998</v>
      </c>
      <c r="O4002" s="1440">
        <f>IF(base[[#This Row],[L/P Líquido]]&gt;0,1,0)</f>
        <v>1</v>
      </c>
      <c r="P4002" s="1440"/>
      <c r="Q4002" s="1440" t="str">
        <f>LEFT(base[[#This Row],[Evento / Mercado]],FIND("vs",base[[#This Row],[Evento / Mercado]])-2)</f>
        <v>Millwall</v>
      </c>
      <c r="R4002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02" s="1440" t="str">
        <f>LEFT(base[[#This Row],[Evento / Mercado]],FIND("/",base[[#This Row],[Evento / Mercado]])-2)</f>
        <v>Millwall vs Wrexham</v>
      </c>
      <c r="T4002" s="1441">
        <f>base[[#This Row],[Data de liquidação]]</f>
        <v>46267.718587962961</v>
      </c>
    </row>
    <row r="4003" spans="2:20" ht="15" customHeight="1">
      <c r="B4003" s="1435" t="s">
        <v>4689</v>
      </c>
      <c r="C4003" s="859" t="s">
        <v>3510</v>
      </c>
      <c r="D4003" s="1436">
        <v>46267.721979166665</v>
      </c>
      <c r="E4003" s="1437">
        <v>23.88</v>
      </c>
      <c r="F4003" s="583">
        <v>4.4999999999999998E-2</v>
      </c>
      <c r="G4003" s="1438">
        <f t="shared" si="164"/>
        <v>25.005235602094242</v>
      </c>
      <c r="H4003" s="1434" t="s">
        <v>4683</v>
      </c>
      <c r="I4003" s="1439" t="s">
        <v>693</v>
      </c>
      <c r="J4003" s="1438">
        <v>17</v>
      </c>
      <c r="K4003" s="1438">
        <v>400</v>
      </c>
      <c r="L4003" s="1436">
        <f>INT(base[[#This Row],[Data de liquidação]])</f>
        <v>46267</v>
      </c>
      <c r="M4003" s="1438">
        <f>base[[#This Row],[L/P Bruto]]-base[[#This Row],[L/P Líquido]]</f>
        <v>1.1252356020942429</v>
      </c>
      <c r="N4003" s="1438">
        <f>base[[#This Row],[L/P Líquido]]/base[[#This Row],[Stake/Responsabilidade]]</f>
        <v>5.9699999999999996E-2</v>
      </c>
      <c r="O4003" s="1440">
        <f>IF(base[[#This Row],[L/P Líquido]]&gt;0,1,0)</f>
        <v>1</v>
      </c>
      <c r="P4003" s="1440"/>
      <c r="Q4003" s="1440" t="str">
        <f>LEFT(base[[#This Row],[Evento / Mercado]],FIND("vs",base[[#This Row],[Evento / Mercado]])-2)</f>
        <v>Grasshopper Club Zürich</v>
      </c>
      <c r="R4003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4003" s="1440" t="str">
        <f>LEFT(base[[#This Row],[Evento / Mercado]],FIND("/",base[[#This Row],[Evento / Mercado]])-2)</f>
        <v>Grasshopper Club Zürich vs FC St. Gallen</v>
      </c>
      <c r="T4003" s="1441">
        <f>base[[#This Row],[Data de liquidação]]</f>
        <v>46267.721979166665</v>
      </c>
    </row>
    <row r="4004" spans="2:20" ht="15" customHeight="1">
      <c r="B4004" s="1435" t="s">
        <v>4688</v>
      </c>
      <c r="C4004" s="859" t="s">
        <v>3510</v>
      </c>
      <c r="D4004" s="1436">
        <v>46267.72452546296</v>
      </c>
      <c r="E4004" s="1437">
        <v>21.22</v>
      </c>
      <c r="F4004" s="583">
        <v>4.4999999999999998E-2</v>
      </c>
      <c r="G4004" s="1438">
        <f t="shared" si="164"/>
        <v>22.219895287958114</v>
      </c>
      <c r="H4004" s="1434" t="s">
        <v>4683</v>
      </c>
      <c r="I4004" s="1409" t="s">
        <v>626</v>
      </c>
      <c r="J4004" s="1438">
        <v>19</v>
      </c>
      <c r="K4004" s="1438">
        <v>399.96</v>
      </c>
      <c r="L4004" s="1436">
        <f>INT(base[[#This Row],[Data de liquidação]])</f>
        <v>46267</v>
      </c>
      <c r="M4004" s="1438">
        <f>base[[#This Row],[L/P Bruto]]-base[[#This Row],[L/P Líquido]]</f>
        <v>0.99989528795811466</v>
      </c>
      <c r="N4004" s="1438">
        <f>base[[#This Row],[L/P Líquido]]/base[[#This Row],[Stake/Responsabilidade]]</f>
        <v>5.3055305530553057E-2</v>
      </c>
      <c r="O4004" s="1440">
        <f>IF(base[[#This Row],[L/P Líquido]]&gt;0,1,0)</f>
        <v>1</v>
      </c>
      <c r="P4004" s="1440"/>
      <c r="Q4004" s="1440" t="str">
        <f>LEFT(base[[#This Row],[Evento / Mercado]],FIND("vs",base[[#This Row],[Evento / Mercado]])-2)</f>
        <v>FC Luzern</v>
      </c>
      <c r="R4004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Vaduz</v>
      </c>
      <c r="S4004" s="1440" t="str">
        <f>LEFT(base[[#This Row],[Evento / Mercado]],FIND("/",base[[#This Row],[Evento / Mercado]])-2)</f>
        <v>FC Luzern vs FC Vaduz</v>
      </c>
      <c r="T4004" s="1441">
        <f>base[[#This Row],[Data de liquidação]]</f>
        <v>46267.72452546296</v>
      </c>
    </row>
    <row r="4005" spans="2:20" ht="15" customHeight="1">
      <c r="B4005" s="1435" t="s">
        <v>4687</v>
      </c>
      <c r="C4005" s="859" t="s">
        <v>3510</v>
      </c>
      <c r="D4005" s="1436">
        <v>46267.734930555554</v>
      </c>
      <c r="E4005" s="1437">
        <v>33.79</v>
      </c>
      <c r="F4005" s="583">
        <v>4.4999999999999998E-2</v>
      </c>
      <c r="G4005" s="1438">
        <f t="shared" si="164"/>
        <v>35.382198952879584</v>
      </c>
      <c r="H4005" s="1401" t="s">
        <v>3365</v>
      </c>
      <c r="I4005" s="1402" t="s">
        <v>391</v>
      </c>
      <c r="J4005" s="1438">
        <v>14</v>
      </c>
      <c r="K4005" s="1438">
        <f>209.95+249.99</f>
        <v>459.94</v>
      </c>
      <c r="L4005" s="1436">
        <f>INT(base[[#This Row],[Data de liquidação]])</f>
        <v>46267</v>
      </c>
      <c r="M4005" s="1438">
        <f>base[[#This Row],[L/P Bruto]]-base[[#This Row],[L/P Líquido]]</f>
        <v>1.5921989528795848</v>
      </c>
      <c r="N4005" s="1438">
        <f>base[[#This Row],[L/P Líquido]]/base[[#This Row],[Stake/Responsabilidade]]</f>
        <v>7.3466104274470576E-2</v>
      </c>
      <c r="O4005" s="1440">
        <f>IF(base[[#This Row],[L/P Líquido]]&gt;0,1,0)</f>
        <v>1</v>
      </c>
      <c r="P4005" s="1448" t="s">
        <v>1216</v>
      </c>
      <c r="Q4005" s="1440" t="str">
        <f>LEFT(base[[#This Row],[Evento / Mercado]],FIND("vs",base[[#This Row],[Evento / Mercado]])-2)</f>
        <v>Celtic</v>
      </c>
      <c r="R4005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4005" s="1440" t="str">
        <f>LEFT(base[[#This Row],[Evento / Mercado]],FIND("/",base[[#This Row],[Evento / Mercado]])-2)</f>
        <v>Celtic vs Aberdeen</v>
      </c>
      <c r="T4005" s="1441">
        <f>base[[#This Row],[Data de liquidação]]</f>
        <v>46267.734930555554</v>
      </c>
    </row>
    <row r="4006" spans="2:20" ht="15" customHeight="1">
      <c r="B4006" s="1435" t="s">
        <v>4686</v>
      </c>
      <c r="C4006" s="859" t="s">
        <v>3510</v>
      </c>
      <c r="D4006" s="1436">
        <v>46267.849386574075</v>
      </c>
      <c r="E4006" s="1437">
        <v>-5</v>
      </c>
      <c r="F4006" s="583">
        <v>4.4999999999999998E-2</v>
      </c>
      <c r="G4006" s="1438">
        <f t="shared" si="164"/>
        <v>-5</v>
      </c>
      <c r="H4006" s="1365" t="s">
        <v>1644</v>
      </c>
      <c r="I4006" s="1387" t="s">
        <v>3291</v>
      </c>
      <c r="J4006" s="1438">
        <v>2.16</v>
      </c>
      <c r="K4006" s="1438">
        <v>5</v>
      </c>
      <c r="L4006" s="1436">
        <f>INT(base[[#This Row],[Data de liquidação]])</f>
        <v>46267</v>
      </c>
      <c r="M4006" s="1438">
        <f>base[[#This Row],[L/P Bruto]]-base[[#This Row],[L/P Líquido]]</f>
        <v>0</v>
      </c>
      <c r="N4006" s="1438">
        <f>base[[#This Row],[L/P Líquido]]/base[[#This Row],[Stake/Responsabilidade]]</f>
        <v>-1</v>
      </c>
      <c r="O4006" s="1440">
        <f>IF(base[[#This Row],[L/P Líquido]]&gt;0,1,0)</f>
        <v>0</v>
      </c>
      <c r="P4006" s="1440"/>
      <c r="Q4006" s="1440" t="str">
        <f>LEFT(base[[#This Row],[Evento / Mercado]],FIND("vs",base[[#This Row],[Evento / Mercado]])-2)</f>
        <v>Club Olimpia</v>
      </c>
      <c r="R4006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Guaraní</v>
      </c>
      <c r="S4006" s="1440" t="str">
        <f>LEFT(base[[#This Row],[Evento / Mercado]],FIND("/",base[[#This Row],[Evento / Mercado]])-2)</f>
        <v>Club Olimpia vs Club Guaraní</v>
      </c>
      <c r="T4006" s="1441">
        <f>base[[#This Row],[Data de liquidação]]</f>
        <v>46267.849386574075</v>
      </c>
    </row>
    <row r="4007" spans="2:20" ht="15" customHeight="1">
      <c r="B4007" s="1435" t="s">
        <v>4685</v>
      </c>
      <c r="C4007" s="859" t="s">
        <v>3510</v>
      </c>
      <c r="D4007" s="1436">
        <v>46267.894120370373</v>
      </c>
      <c r="E4007" s="1437">
        <v>29.83</v>
      </c>
      <c r="F4007" s="583">
        <v>4.4999999999999998E-2</v>
      </c>
      <c r="G4007" s="1438">
        <f t="shared" si="164"/>
        <v>31.235602094240836</v>
      </c>
      <c r="H4007" s="1401" t="s">
        <v>3365</v>
      </c>
      <c r="I4007" s="1402" t="s">
        <v>391</v>
      </c>
      <c r="J4007" s="1438">
        <f>(16*210+15.5*249.98)/base[[#This Row],[Stake/Responsabilidade]]</f>
        <v>15.728270794382365</v>
      </c>
      <c r="K4007" s="1438">
        <f>210+249.98</f>
        <v>459.98</v>
      </c>
      <c r="L4007" s="1436">
        <f>INT(base[[#This Row],[Data de liquidação]])</f>
        <v>46267</v>
      </c>
      <c r="M4007" s="1438">
        <f>base[[#This Row],[L/P Bruto]]-base[[#This Row],[L/P Líquido]]</f>
        <v>1.4056020942408374</v>
      </c>
      <c r="N4007" s="1438">
        <f>base[[#This Row],[L/P Líquido]]/base[[#This Row],[Stake/Responsabilidade]]</f>
        <v>6.4850645680246954E-2</v>
      </c>
      <c r="O4007" s="1440">
        <f>IF(base[[#This Row],[L/P Líquido]]&gt;0,1,0)</f>
        <v>1</v>
      </c>
      <c r="P4007" s="1448" t="s">
        <v>1358</v>
      </c>
      <c r="Q4007" s="1440" t="str">
        <f>LEFT(base[[#This Row],[Evento / Mercado]],FIND("vs",base[[#This Row],[Evento / Mercado]])-2)</f>
        <v>Flamengo</v>
      </c>
      <c r="R4007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4007" s="1440" t="str">
        <f>LEFT(base[[#This Row],[Evento / Mercado]],FIND("/",base[[#This Row],[Evento / Mercado]])-2)</f>
        <v>Flamengo vs Mirassol FC</v>
      </c>
      <c r="T4007" s="1441">
        <f>base[[#This Row],[Data de liquidação]]</f>
        <v>46267.894120370373</v>
      </c>
    </row>
    <row r="4008" spans="2:20" ht="15" customHeight="1">
      <c r="B4008" s="1435" t="s">
        <v>4684</v>
      </c>
      <c r="C4008" s="859" t="s">
        <v>3510</v>
      </c>
      <c r="D4008" s="1436">
        <v>46267.964803240742</v>
      </c>
      <c r="E4008" s="1437">
        <v>10.85</v>
      </c>
      <c r="F4008" s="583">
        <v>4.4999999999999998E-2</v>
      </c>
      <c r="G4008" s="1438">
        <f t="shared" si="164"/>
        <v>11.361256544502618</v>
      </c>
      <c r="H4008" s="1365" t="s">
        <v>1644</v>
      </c>
      <c r="I4008" s="1433" t="s">
        <v>4682</v>
      </c>
      <c r="J4008" s="1438">
        <v>9.8000000000000007</v>
      </c>
      <c r="K4008" s="1438">
        <v>99.97</v>
      </c>
      <c r="L4008" s="1436">
        <f>INT(base[[#This Row],[Data de liquidação]])</f>
        <v>46267</v>
      </c>
      <c r="M4008" s="1438">
        <f>base[[#This Row],[L/P Bruto]]-base[[#This Row],[L/P Líquido]]</f>
        <v>0.51125654450261848</v>
      </c>
      <c r="N4008" s="1438">
        <f>base[[#This Row],[L/P Líquido]]/base[[#This Row],[Stake/Responsabilidade]]</f>
        <v>0.10853255976793037</v>
      </c>
      <c r="O4008" s="1440">
        <f>IF(base[[#This Row],[L/P Líquido]]&gt;0,1,0)</f>
        <v>1</v>
      </c>
      <c r="P4008" s="1440"/>
      <c r="Q4008" s="1440" t="str">
        <f>LEFT(base[[#This Row],[Evento / Mercado]],FIND("vs",base[[#This Row],[Evento / Mercado]])-2)</f>
        <v>Vélez Sársfield</v>
      </c>
      <c r="R4008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4008" s="1440" t="str">
        <f>LEFT(base[[#This Row],[Evento / Mercado]],FIND("/",base[[#This Row],[Evento / Mercado]])-2)</f>
        <v>Vélez Sársfield vs Boca Juniors</v>
      </c>
      <c r="T4008" s="1441">
        <f>base[[#This Row],[Data de liquidação]]</f>
        <v>46267.964803240742</v>
      </c>
    </row>
    <row r="4009" spans="2:20" ht="15" customHeight="1">
      <c r="B4009" s="1442" t="s">
        <v>4698</v>
      </c>
      <c r="C4009" s="859" t="s">
        <v>3510</v>
      </c>
      <c r="D4009" s="1443">
        <v>46268.662465277775</v>
      </c>
      <c r="E4009" s="1444">
        <v>10.61</v>
      </c>
      <c r="F4009" s="583">
        <v>4.4999999999999998E-2</v>
      </c>
      <c r="G4009" s="1445">
        <f t="shared" ref="G4009:G4013" si="165">IF(E4009&gt;0,E4009/(1-F4009),E4009)</f>
        <v>11.109947643979057</v>
      </c>
      <c r="H4009" s="1365" t="s">
        <v>1644</v>
      </c>
      <c r="I4009" s="1402" t="s">
        <v>2272</v>
      </c>
      <c r="J4009" s="1445">
        <v>1.56</v>
      </c>
      <c r="K4009" s="1445">
        <v>20</v>
      </c>
      <c r="L4009" s="1443">
        <f>INT(base[[#This Row],[Data de liquidação]])</f>
        <v>46268</v>
      </c>
      <c r="M4009" s="1445">
        <f>base[[#This Row],[L/P Bruto]]-base[[#This Row],[L/P Líquido]]</f>
        <v>0.49994764397905733</v>
      </c>
      <c r="N4009" s="1445">
        <f>base[[#This Row],[L/P Líquido]]/base[[#This Row],[Stake/Responsabilidade]]</f>
        <v>0.53049999999999997</v>
      </c>
      <c r="O4009" s="1446">
        <f>IF(base[[#This Row],[L/P Líquido]]&gt;0,1,0)</f>
        <v>1</v>
      </c>
      <c r="P4009" s="1446"/>
      <c r="Q4009" s="1446" t="str">
        <f>LEFT(base[[#This Row],[Evento / Mercado]],FIND("vs",base[[#This Row],[Evento / Mercado]])-2)</f>
        <v>Al Ahly</v>
      </c>
      <c r="R4009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Smouha SC</v>
      </c>
      <c r="S4009" s="1446" t="str">
        <f>LEFT(base[[#This Row],[Evento / Mercado]],FIND("/",base[[#This Row],[Evento / Mercado]])-2)</f>
        <v>Al Ahly vs Smouha SC</v>
      </c>
      <c r="T4009" s="1447">
        <f>base[[#This Row],[Data de liquidação]]</f>
        <v>46268.662465277775</v>
      </c>
    </row>
    <row r="4010" spans="2:20" ht="15" customHeight="1">
      <c r="B4010" s="1442" t="s">
        <v>4697</v>
      </c>
      <c r="C4010" s="859" t="s">
        <v>3510</v>
      </c>
      <c r="D4010" s="1443">
        <v>46268.707083333335</v>
      </c>
      <c r="E4010" s="1444">
        <v>75.64</v>
      </c>
      <c r="F4010" s="583">
        <v>4.4999999999999998E-2</v>
      </c>
      <c r="G4010" s="1445">
        <f t="shared" si="165"/>
        <v>79.204188481675402</v>
      </c>
      <c r="H4010" s="1401" t="s">
        <v>314</v>
      </c>
      <c r="I4010" s="1402" t="s">
        <v>349</v>
      </c>
      <c r="J4010" s="1445">
        <v>1.66</v>
      </c>
      <c r="K4010" s="1445">
        <v>120</v>
      </c>
      <c r="L4010" s="1443">
        <f>INT(base[[#This Row],[Data de liquidação]])</f>
        <v>46268</v>
      </c>
      <c r="M4010" s="1445">
        <f>base[[#This Row],[L/P Bruto]]-base[[#This Row],[L/P Líquido]]</f>
        <v>3.5641884816754015</v>
      </c>
      <c r="N4010" s="1445">
        <f>base[[#This Row],[L/P Líquido]]/base[[#This Row],[Stake/Responsabilidade]]</f>
        <v>0.6303333333333333</v>
      </c>
      <c r="O4010" s="1446">
        <f>IF(base[[#This Row],[L/P Líquido]]&gt;0,1,0)</f>
        <v>1</v>
      </c>
      <c r="P4010" s="1446"/>
      <c r="Q4010" s="1446" t="str">
        <f>LEFT(base[[#This Row],[Evento / Mercado]],FIND("vs",base[[#This Row],[Evento / Mercado]])-2)</f>
        <v>Hibernian</v>
      </c>
      <c r="R4010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4010" s="1446" t="str">
        <f>LEFT(base[[#This Row],[Evento / Mercado]],FIND("/",base[[#This Row],[Evento / Mercado]])-2)</f>
        <v>Hibernian vs Hearts</v>
      </c>
      <c r="T4010" s="1447">
        <f>base[[#This Row],[Data de liquidação]]</f>
        <v>46268.707083333335</v>
      </c>
    </row>
    <row r="4011" spans="2:20" ht="15" customHeight="1">
      <c r="B4011" s="1442" t="s">
        <v>4696</v>
      </c>
      <c r="C4011" s="859" t="s">
        <v>3510</v>
      </c>
      <c r="D4011" s="1443">
        <v>46268.707731481481</v>
      </c>
      <c r="E4011" s="1444">
        <v>42.61</v>
      </c>
      <c r="F4011" s="583">
        <v>4.4999999999999998E-2</v>
      </c>
      <c r="G4011" s="1445">
        <f t="shared" si="165"/>
        <v>44.617801047120423</v>
      </c>
      <c r="H4011" s="1434" t="s">
        <v>4683</v>
      </c>
      <c r="I4011" s="1439" t="s">
        <v>693</v>
      </c>
      <c r="J4011" s="1445">
        <f>(9.4*197.99+14*147.74+16.5*150.04)/base[[#This Row],[Stake/Responsabilidade]]</f>
        <v>12.919551404885331</v>
      </c>
      <c r="K4011" s="1445">
        <f>197.99+147.74+150.04</f>
        <v>495.77</v>
      </c>
      <c r="L4011" s="1443">
        <f>INT(base[[#This Row],[Data de liquidação]])</f>
        <v>46268</v>
      </c>
      <c r="M4011" s="1445">
        <f>base[[#This Row],[L/P Bruto]]-base[[#This Row],[L/P Líquido]]</f>
        <v>2.0078010471204237</v>
      </c>
      <c r="N4011" s="1445">
        <f>base[[#This Row],[L/P Líquido]]/base[[#This Row],[Stake/Responsabilidade]]</f>
        <v>8.5947112572362191E-2</v>
      </c>
      <c r="O4011" s="1446">
        <f>IF(base[[#This Row],[L/P Líquido]]&gt;0,1,0)</f>
        <v>1</v>
      </c>
      <c r="P4011" s="1446"/>
      <c r="Q4011" s="1446" t="str">
        <f>LEFT(base[[#This Row],[Evento / Mercado]],FIND("vs",base[[#This Row],[Evento / Mercado]])-2)</f>
        <v>Al Diriyah</v>
      </c>
      <c r="R4011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4011" s="1446" t="str">
        <f>LEFT(base[[#This Row],[Evento / Mercado]],FIND("/",base[[#This Row],[Evento / Mercado]])-2)</f>
        <v>Al Diriyah vs Al-Qadisiyah</v>
      </c>
      <c r="T4011" s="1447">
        <f>base[[#This Row],[Data de liquidação]]</f>
        <v>46268.707731481481</v>
      </c>
    </row>
    <row r="4012" spans="2:20" ht="15" customHeight="1">
      <c r="B4012" s="1442" t="s">
        <v>4695</v>
      </c>
      <c r="C4012" s="859" t="s">
        <v>3510</v>
      </c>
      <c r="D4012" s="1443">
        <v>46268.723298611112</v>
      </c>
      <c r="E4012" s="1444">
        <v>19.7</v>
      </c>
      <c r="F4012" s="583">
        <v>4.4999999999999998E-2</v>
      </c>
      <c r="G4012" s="1445">
        <f t="shared" si="165"/>
        <v>20.6282722513089</v>
      </c>
      <c r="H4012" s="1434" t="s">
        <v>4683</v>
      </c>
      <c r="I4012" s="1409" t="s">
        <v>626</v>
      </c>
      <c r="J4012" s="1445">
        <v>25</v>
      </c>
      <c r="K4012" s="1445">
        <v>495.12</v>
      </c>
      <c r="L4012" s="1443">
        <f>INT(base[[#This Row],[Data de liquidação]])</f>
        <v>46268</v>
      </c>
      <c r="M4012" s="1445">
        <f>base[[#This Row],[L/P Bruto]]-base[[#This Row],[L/P Líquido]]</f>
        <v>0.92827225130890056</v>
      </c>
      <c r="N4012" s="1445">
        <f>base[[#This Row],[L/P Líquido]]/base[[#This Row],[Stake/Responsabilidade]]</f>
        <v>3.9788334141218289E-2</v>
      </c>
      <c r="O4012" s="1446">
        <f>IF(base[[#This Row],[L/P Líquido]]&gt;0,1,0)</f>
        <v>1</v>
      </c>
      <c r="P4012" s="1446"/>
      <c r="Q4012" s="1446" t="str">
        <f>LEFT(base[[#This Row],[Evento / Mercado]],FIND("vs",base[[#This Row],[Evento / Mercado]])-2)</f>
        <v>Anderlecht</v>
      </c>
      <c r="R4012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Kortrijk</v>
      </c>
      <c r="S4012" s="1446" t="str">
        <f>LEFT(base[[#This Row],[Evento / Mercado]],FIND("/",base[[#This Row],[Evento / Mercado]])-2)</f>
        <v>Anderlecht vs Kortrijk</v>
      </c>
      <c r="T4012" s="1447">
        <f>base[[#This Row],[Data de liquidação]]</f>
        <v>46268.723298611112</v>
      </c>
    </row>
    <row r="4013" spans="2:20" ht="15" customHeight="1">
      <c r="B4013" s="1442" t="s">
        <v>4694</v>
      </c>
      <c r="C4013" s="859" t="s">
        <v>3510</v>
      </c>
      <c r="D4013" s="1443">
        <v>46268.72928240741</v>
      </c>
      <c r="E4013" s="1444">
        <v>27.02</v>
      </c>
      <c r="F4013" s="583">
        <v>4.4999999999999998E-2</v>
      </c>
      <c r="G4013" s="1445">
        <f t="shared" si="165"/>
        <v>28.293193717277486</v>
      </c>
      <c r="H4013" s="1434" t="s">
        <v>4683</v>
      </c>
      <c r="I4013" s="1409" t="s">
        <v>626</v>
      </c>
      <c r="J4013" s="1445">
        <v>18.5</v>
      </c>
      <c r="K4013" s="1445">
        <v>495.08</v>
      </c>
      <c r="L4013" s="1443">
        <f>INT(base[[#This Row],[Data de liquidação]])</f>
        <v>46268</v>
      </c>
      <c r="M4013" s="1445">
        <f>base[[#This Row],[L/P Bruto]]-base[[#This Row],[L/P Líquido]]</f>
        <v>1.2731937172774863</v>
      </c>
      <c r="N4013" s="1445">
        <f>base[[#This Row],[L/P Líquido]]/base[[#This Row],[Stake/Responsabilidade]]</f>
        <v>5.4577038054455844E-2</v>
      </c>
      <c r="O4013" s="1446">
        <f>IF(base[[#This Row],[L/P Líquido]]&gt;0,1,0)</f>
        <v>1</v>
      </c>
      <c r="P4013" s="1446"/>
      <c r="Q4013" s="1446" t="str">
        <f>LEFT(base[[#This Row],[Evento / Mercado]],FIND("vs",base[[#This Row],[Evento / Mercado]])-2)</f>
        <v>KAA Gent</v>
      </c>
      <c r="R4013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4013" s="1446" t="str">
        <f>LEFT(base[[#This Row],[Evento / Mercado]],FIND("/",base[[#This Row],[Evento / Mercado]])-2)</f>
        <v>KAA Gent vs Oud-Heverlee Leuven</v>
      </c>
      <c r="T4013" s="1447">
        <f>base[[#This Row],[Data de liquidação]]</f>
        <v>46268.72928240741</v>
      </c>
    </row>
    <row r="4014" spans="2:20" ht="15" customHeight="1">
      <c r="B4014" s="1450" t="s">
        <v>4711</v>
      </c>
      <c r="C4014" s="859" t="s">
        <v>3510</v>
      </c>
      <c r="D4014" s="1451">
        <v>46269.653749999998</v>
      </c>
      <c r="E4014" s="1452">
        <v>10.119999999999999</v>
      </c>
      <c r="F4014" s="583">
        <v>4.4999999999999998E-2</v>
      </c>
      <c r="G4014" s="1453">
        <f t="shared" ref="G4014:G4027" si="166">IF(E4014&gt;0,E4014/(1-F4014),E4014)</f>
        <v>10.596858638743456</v>
      </c>
      <c r="H4014" s="1365" t="s">
        <v>1644</v>
      </c>
      <c r="I4014" s="1402" t="s">
        <v>2272</v>
      </c>
      <c r="J4014" s="1453">
        <v>1.53</v>
      </c>
      <c r="K4014" s="1453">
        <v>20</v>
      </c>
      <c r="L4014" s="1451">
        <f>INT(base[[#This Row],[Data de liquidação]])</f>
        <v>46269</v>
      </c>
      <c r="M4014" s="1453">
        <f>base[[#This Row],[L/P Bruto]]-base[[#This Row],[L/P Líquido]]</f>
        <v>0.47685863874345635</v>
      </c>
      <c r="N4014" s="1453">
        <f>base[[#This Row],[L/P Líquido]]/base[[#This Row],[Stake/Responsabilidade]]</f>
        <v>0.50600000000000001</v>
      </c>
      <c r="O4014" s="1455">
        <f>IF(base[[#This Row],[L/P Líquido]]&gt;0,1,0)</f>
        <v>1</v>
      </c>
      <c r="P4014" s="1455"/>
      <c r="Q4014" s="1455" t="str">
        <f>LEFT(base[[#This Row],[Evento / Mercado]],FIND("vs",base[[#This Row],[Evento / Mercado]])-2)</f>
        <v>Richards Bay FC</v>
      </c>
      <c r="R401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AmaZulu</v>
      </c>
      <c r="S4014" s="1455" t="str">
        <f>LEFT(base[[#This Row],[Evento / Mercado]],FIND("/",base[[#This Row],[Evento / Mercado]])-2)</f>
        <v>Richards Bay FC vs AmaZulu</v>
      </c>
      <c r="T4014" s="1456">
        <f>base[[#This Row],[Data de liquidação]]</f>
        <v>46269.653749999998</v>
      </c>
    </row>
    <row r="4015" spans="2:20" ht="15" customHeight="1">
      <c r="B4015" s="1450" t="s">
        <v>4710</v>
      </c>
      <c r="C4015" s="859" t="s">
        <v>3510</v>
      </c>
      <c r="D4015" s="1451">
        <v>46269.661215277774</v>
      </c>
      <c r="E4015" s="1452">
        <v>17.36</v>
      </c>
      <c r="F4015" s="583">
        <v>4.4999999999999998E-2</v>
      </c>
      <c r="G4015" s="1453">
        <f t="shared" si="166"/>
        <v>18.178010471204189</v>
      </c>
      <c r="H4015" s="1434" t="s">
        <v>4683</v>
      </c>
      <c r="I4015" s="1409" t="s">
        <v>626</v>
      </c>
      <c r="J4015" s="1453">
        <v>23</v>
      </c>
      <c r="K4015" s="1453">
        <v>399.96</v>
      </c>
      <c r="L4015" s="1451">
        <f>INT(base[[#This Row],[Data de liquidação]])</f>
        <v>46269</v>
      </c>
      <c r="M4015" s="1453">
        <f>base[[#This Row],[L/P Bruto]]-base[[#This Row],[L/P Líquido]]</f>
        <v>0.81801047120418957</v>
      </c>
      <c r="N4015" s="1453">
        <f>base[[#This Row],[L/P Líquido]]/base[[#This Row],[Stake/Responsabilidade]]</f>
        <v>4.3404340434043405E-2</v>
      </c>
      <c r="O4015" s="1455">
        <f>IF(base[[#This Row],[L/P Líquido]]&gt;0,1,0)</f>
        <v>1</v>
      </c>
      <c r="P4015" s="1455"/>
      <c r="Q4015" s="1455" t="str">
        <f>LEFT(base[[#This Row],[Evento / Mercado]],FIND("vs",base[[#This Row],[Evento / Mercado]])-2)</f>
        <v>Viborg FF</v>
      </c>
      <c r="R401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Lyngby BK</v>
      </c>
      <c r="S4015" s="1455" t="str">
        <f>LEFT(base[[#This Row],[Evento / Mercado]],FIND("/",base[[#This Row],[Evento / Mercado]])-2)</f>
        <v>Viborg FF vs Lyngby BK</v>
      </c>
      <c r="T4015" s="1456">
        <f>base[[#This Row],[Data de liquidação]]</f>
        <v>46269.661215277774</v>
      </c>
    </row>
    <row r="4016" spans="2:20" ht="15" customHeight="1">
      <c r="B4016" s="1450" t="s">
        <v>4709</v>
      </c>
      <c r="C4016" s="859" t="s">
        <v>3510</v>
      </c>
      <c r="D4016" s="1451">
        <v>46269.681250000001</v>
      </c>
      <c r="E4016" s="1452">
        <v>-20</v>
      </c>
      <c r="F4016" s="583">
        <v>4.4999999999999998E-2</v>
      </c>
      <c r="G4016" s="1453">
        <f t="shared" si="166"/>
        <v>-20</v>
      </c>
      <c r="H4016" s="1365" t="s">
        <v>1644</v>
      </c>
      <c r="I4016" s="1402" t="s">
        <v>2272</v>
      </c>
      <c r="J4016" s="1453">
        <v>1.52</v>
      </c>
      <c r="K4016" s="1453">
        <v>20</v>
      </c>
      <c r="L4016" s="1451">
        <f>INT(base[[#This Row],[Data de liquidação]])</f>
        <v>46269</v>
      </c>
      <c r="M4016" s="1453">
        <f>base[[#This Row],[L/P Bruto]]-base[[#This Row],[L/P Líquido]]</f>
        <v>0</v>
      </c>
      <c r="N4016" s="1453">
        <f>base[[#This Row],[L/P Líquido]]/base[[#This Row],[Stake/Responsabilidade]]</f>
        <v>-1</v>
      </c>
      <c r="O4016" s="1455">
        <f>IF(base[[#This Row],[L/P Líquido]]&gt;0,1,0)</f>
        <v>0</v>
      </c>
      <c r="P4016" s="1455"/>
      <c r="Q4016" s="1455" t="str">
        <f>LEFT(base[[#This Row],[Evento / Mercado]],FIND("vs",base[[#This Row],[Evento / Mercado]])-2)</f>
        <v>CFR Cluj</v>
      </c>
      <c r="R401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Farul Constanta</v>
      </c>
      <c r="S4016" s="1455" t="str">
        <f>LEFT(base[[#This Row],[Evento / Mercado]],FIND("/",base[[#This Row],[Evento / Mercado]])-2)</f>
        <v>CFR Cluj vs FC Farul Constanta</v>
      </c>
      <c r="T4016" s="1456">
        <f>base[[#This Row],[Data de liquidação]]</f>
        <v>46269.681250000001</v>
      </c>
    </row>
    <row r="4017" spans="2:20" ht="15" customHeight="1">
      <c r="B4017" s="1450" t="s">
        <v>4708</v>
      </c>
      <c r="C4017" s="859" t="s">
        <v>3510</v>
      </c>
      <c r="D4017" s="1451">
        <v>46269.704884259256</v>
      </c>
      <c r="E4017" s="1452">
        <v>23.88</v>
      </c>
      <c r="F4017" s="583">
        <v>4.4999999999999998E-2</v>
      </c>
      <c r="G4017" s="1453">
        <f t="shared" si="166"/>
        <v>25.005235602094242</v>
      </c>
      <c r="H4017" s="1434" t="s">
        <v>4683</v>
      </c>
      <c r="I4017" s="1409" t="s">
        <v>626</v>
      </c>
      <c r="J4017" s="1453">
        <v>17</v>
      </c>
      <c r="K4017" s="1453">
        <v>400</v>
      </c>
      <c r="L4017" s="1451">
        <f>INT(base[[#This Row],[Data de liquidação]])</f>
        <v>46269</v>
      </c>
      <c r="M4017" s="1453">
        <f>base[[#This Row],[L/P Bruto]]-base[[#This Row],[L/P Líquido]]</f>
        <v>1.1252356020942429</v>
      </c>
      <c r="N4017" s="1453">
        <f>base[[#This Row],[L/P Líquido]]/base[[#This Row],[Stake/Responsabilidade]]</f>
        <v>5.9699999999999996E-2</v>
      </c>
      <c r="O4017" s="1455">
        <f>IF(base[[#This Row],[L/P Líquido]]&gt;0,1,0)</f>
        <v>1</v>
      </c>
      <c r="P4017" s="1455"/>
      <c r="Q4017" s="1455" t="str">
        <f>LEFT(base[[#This Row],[Evento / Mercado]],FIND("vs",base[[#This Row],[Evento / Mercado]])-2)</f>
        <v>NK Varaždin</v>
      </c>
      <c r="R401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4017" s="1455" t="str">
        <f>LEFT(base[[#This Row],[Evento / Mercado]],FIND("/",base[[#This Row],[Evento / Mercado]])-2)</f>
        <v>NK Varaždin vs Istra 1961</v>
      </c>
      <c r="T4017" s="1456">
        <f>base[[#This Row],[Data de liquidação]]</f>
        <v>46269.704884259256</v>
      </c>
    </row>
    <row r="4018" spans="2:20" ht="15" customHeight="1">
      <c r="B4018" s="1450" t="s">
        <v>4707</v>
      </c>
      <c r="C4018" s="859" t="s">
        <v>3510</v>
      </c>
      <c r="D4018" s="1451">
        <v>46269.706307870372</v>
      </c>
      <c r="E4018" s="1452">
        <v>41.19</v>
      </c>
      <c r="F4018" s="583">
        <v>4.4999999999999998E-2</v>
      </c>
      <c r="G4018" s="1453">
        <f t="shared" si="166"/>
        <v>43.130890052356023</v>
      </c>
      <c r="H4018" s="1401" t="s">
        <v>3365</v>
      </c>
      <c r="I4018" s="1402" t="s">
        <v>391</v>
      </c>
      <c r="J4018" s="1453">
        <f>(16*271.95+11*250)/base[[#This Row],[Stake/Responsabilidade]]</f>
        <v>13.605134591435959</v>
      </c>
      <c r="K4018" s="1453">
        <f>271.95+250</f>
        <v>521.95000000000005</v>
      </c>
      <c r="L4018" s="1451">
        <f>INT(base[[#This Row],[Data de liquidação]])</f>
        <v>46269</v>
      </c>
      <c r="M4018" s="1453">
        <f>base[[#This Row],[L/P Bruto]]-base[[#This Row],[L/P Líquido]]</f>
        <v>1.9408900523560249</v>
      </c>
      <c r="N4018" s="1453">
        <f>base[[#This Row],[L/P Líquido]]/base[[#This Row],[Stake/Responsabilidade]]</f>
        <v>7.8915604943002191E-2</v>
      </c>
      <c r="O4018" s="1455">
        <f>IF(base[[#This Row],[L/P Líquido]]&gt;0,1,0)</f>
        <v>1</v>
      </c>
      <c r="P4018" s="1464" t="s">
        <v>1209</v>
      </c>
      <c r="Q4018" s="1455" t="str">
        <f>LEFT(base[[#This Row],[Evento / Mercado]],FIND("vs",base[[#This Row],[Evento / Mercado]])-2)</f>
        <v>Al Ahli Jeddah</v>
      </c>
      <c r="R4018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18" s="1455" t="str">
        <f>LEFT(base[[#This Row],[Evento / Mercado]],FIND("/",base[[#This Row],[Evento / Mercado]])-2)</f>
        <v>Al Ahli Jeddah vs Al-Riyadh</v>
      </c>
      <c r="T4018" s="1456">
        <f>base[[#This Row],[Data de liquidação]]</f>
        <v>46269.706307870372</v>
      </c>
    </row>
    <row r="4019" spans="2:20" ht="15" customHeight="1">
      <c r="B4019" s="1450" t="s">
        <v>143</v>
      </c>
      <c r="C4019" s="859" t="s">
        <v>3510</v>
      </c>
      <c r="D4019" s="1451">
        <v>46269.707094907404</v>
      </c>
      <c r="E4019" s="1452">
        <v>-400.05</v>
      </c>
      <c r="F4019" s="583">
        <v>4.4999999999999998E-2</v>
      </c>
      <c r="G4019" s="1453">
        <f t="shared" si="166"/>
        <v>-400.05</v>
      </c>
      <c r="H4019" s="1434" t="s">
        <v>4683</v>
      </c>
      <c r="I4019" s="1409" t="s">
        <v>626</v>
      </c>
      <c r="J4019" s="1453">
        <v>22</v>
      </c>
      <c r="K4019" s="1453">
        <v>400.05</v>
      </c>
      <c r="L4019" s="1451">
        <f>INT(base[[#This Row],[Data de liquidação]])</f>
        <v>46269</v>
      </c>
      <c r="M4019" s="1453">
        <f>base[[#This Row],[L/P Bruto]]-base[[#This Row],[L/P Líquido]]</f>
        <v>0</v>
      </c>
      <c r="N4019" s="1453">
        <f>base[[#This Row],[L/P Líquido]]/base[[#This Row],[Stake/Responsabilidade]]</f>
        <v>-1</v>
      </c>
      <c r="O4019" s="1455">
        <f>IF(base[[#This Row],[L/P Líquido]]&gt;0,1,0)</f>
        <v>0</v>
      </c>
      <c r="P4019" s="1455"/>
      <c r="Q4019" s="1455" t="str">
        <f>LEFT(base[[#This Row],[Evento / Mercado]],FIND("vs",base[[#This Row],[Evento / Mercado]])-2)</f>
        <v>Almere City</v>
      </c>
      <c r="R4019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19" s="1455" t="str">
        <f>LEFT(base[[#This Row],[Evento / Mercado]],FIND("/",base[[#This Row],[Evento / Mercado]])-2)</f>
        <v>Almere City vs Jong Ajax</v>
      </c>
      <c r="T4019" s="1456">
        <f>base[[#This Row],[Data de liquidação]]</f>
        <v>46269.707094907404</v>
      </c>
    </row>
    <row r="4020" spans="2:20" ht="15" customHeight="1">
      <c r="B4020" s="1450" t="s">
        <v>4706</v>
      </c>
      <c r="C4020" s="859" t="s">
        <v>3510</v>
      </c>
      <c r="D4020" s="1451">
        <v>46269.708564814813</v>
      </c>
      <c r="E4020" s="1452">
        <v>36.83</v>
      </c>
      <c r="F4020" s="583">
        <v>4.4999999999999998E-2</v>
      </c>
      <c r="G4020" s="1453">
        <f t="shared" si="166"/>
        <v>38.565445026178011</v>
      </c>
      <c r="H4020" s="1453" t="s">
        <v>150</v>
      </c>
      <c r="I4020" s="1454" t="s">
        <v>692</v>
      </c>
      <c r="J4020" s="1453">
        <v>15</v>
      </c>
      <c r="K4020" s="1453">
        <v>539.88</v>
      </c>
      <c r="L4020" s="1451">
        <f>INT(base[[#This Row],[Data de liquidação]])</f>
        <v>46269</v>
      </c>
      <c r="M4020" s="1453">
        <f>base[[#This Row],[L/P Bruto]]-base[[#This Row],[L/P Líquido]]</f>
        <v>1.735445026178013</v>
      </c>
      <c r="N4020" s="1453">
        <f>base[[#This Row],[L/P Líquido]]/base[[#This Row],[Stake/Responsabilidade]]</f>
        <v>6.8218863451137285E-2</v>
      </c>
      <c r="O4020" s="1455">
        <f>IF(base[[#This Row],[L/P Líquido]]&gt;0,1,0)</f>
        <v>1</v>
      </c>
      <c r="P4020" s="1455"/>
      <c r="Q4020" s="1455" t="str">
        <f>LEFT(base[[#This Row],[Evento / Mercado]],FIND("vs",base[[#This Row],[Evento / Mercado]])-2)</f>
        <v>Al-Shabab Riyadh</v>
      </c>
      <c r="R4020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0" s="1455" t="str">
        <f>LEFT(base[[#This Row],[Evento / Mercado]],FIND("/",base[[#This Row],[Evento / Mercado]])-2)</f>
        <v>Al-Shabab Riyadh vs Al-Hilal Riyadh</v>
      </c>
      <c r="T4020" s="1456">
        <f>base[[#This Row],[Data de liquidação]]</f>
        <v>46269.708564814813</v>
      </c>
    </row>
    <row r="4021" spans="2:20" ht="15" customHeight="1">
      <c r="B4021" s="1450" t="s">
        <v>4705</v>
      </c>
      <c r="C4021" s="859" t="s">
        <v>3510</v>
      </c>
      <c r="D4021" s="1451">
        <v>46269.708668981482</v>
      </c>
      <c r="E4021" s="1452">
        <v>52.42</v>
      </c>
      <c r="F4021" s="583">
        <v>4.4999999999999998E-2</v>
      </c>
      <c r="G4021" s="1453">
        <f t="shared" si="166"/>
        <v>54.890052356020945</v>
      </c>
      <c r="H4021" s="1401" t="s">
        <v>3365</v>
      </c>
      <c r="I4021" s="1454" t="s">
        <v>390</v>
      </c>
      <c r="J4021" s="1453">
        <f>(10.5*300.01+11*122+10*99.99)/base[[#This Row],[Stake/Responsabilidade]]</f>
        <v>10.521082375478926</v>
      </c>
      <c r="K4021" s="1453">
        <f>300.01+122+99.99</f>
        <v>522</v>
      </c>
      <c r="L4021" s="1451">
        <f>INT(base[[#This Row],[Data de liquidação]])</f>
        <v>46269</v>
      </c>
      <c r="M4021" s="1453">
        <f>base[[#This Row],[L/P Bruto]]-base[[#This Row],[L/P Líquido]]</f>
        <v>2.4700523560209433</v>
      </c>
      <c r="N4021" s="1453">
        <f>base[[#This Row],[L/P Líquido]]/base[[#This Row],[Stake/Responsabilidade]]</f>
        <v>0.10042145593869732</v>
      </c>
      <c r="O4021" s="1455">
        <f>IF(base[[#This Row],[L/P Líquido]]&gt;0,1,0)</f>
        <v>1</v>
      </c>
      <c r="P4021" s="1464" t="s">
        <v>1209</v>
      </c>
      <c r="Q4021" s="1455" t="str">
        <f>LEFT(base[[#This Row],[Evento / Mercado]],FIND("vs",base[[#This Row],[Evento / Mercado]])-2)</f>
        <v>Al-Shabab Riyadh</v>
      </c>
      <c r="R4021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1" s="1455" t="str">
        <f>LEFT(base[[#This Row],[Evento / Mercado]],FIND("/",base[[#This Row],[Evento / Mercado]])-2)</f>
        <v>Al-Shabab Riyadh vs Al-Hilal Riyadh</v>
      </c>
      <c r="T4021" s="1456">
        <f>base[[#This Row],[Data de liquidação]]</f>
        <v>46269.708668981482</v>
      </c>
    </row>
    <row r="4022" spans="2:20" ht="15" customHeight="1">
      <c r="B4022" s="1450" t="s">
        <v>4704</v>
      </c>
      <c r="C4022" s="859" t="s">
        <v>3510</v>
      </c>
      <c r="D4022" s="1451">
        <v>46269.722893518519</v>
      </c>
      <c r="E4022" s="1452">
        <v>-20</v>
      </c>
      <c r="F4022" s="583">
        <v>4.4999999999999998E-2</v>
      </c>
      <c r="G4022" s="1453">
        <f t="shared" si="166"/>
        <v>-20</v>
      </c>
      <c r="H4022" s="1365" t="s">
        <v>1644</v>
      </c>
      <c r="I4022" s="1402" t="s">
        <v>2272</v>
      </c>
      <c r="J4022" s="1453">
        <v>1.52</v>
      </c>
      <c r="K4022" s="1453">
        <v>20</v>
      </c>
      <c r="L4022" s="1451">
        <f>INT(base[[#This Row],[Data de liquidação]])</f>
        <v>46269</v>
      </c>
      <c r="M4022" s="1453">
        <f>base[[#This Row],[L/P Bruto]]-base[[#This Row],[L/P Líquido]]</f>
        <v>0</v>
      </c>
      <c r="N4022" s="1453">
        <f>base[[#This Row],[L/P Líquido]]/base[[#This Row],[Stake/Responsabilidade]]</f>
        <v>-1</v>
      </c>
      <c r="O4022" s="1455">
        <f>IF(base[[#This Row],[L/P Líquido]]&gt;0,1,0)</f>
        <v>0</v>
      </c>
      <c r="P4022" s="1455"/>
      <c r="Q4022" s="1455" t="str">
        <f>LEFT(base[[#This Row],[Evento / Mercado]],FIND("vs",base[[#This Row],[Evento / Mercado]])-2)</f>
        <v>UD Las Palmas</v>
      </c>
      <c r="R4022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022" s="1455" t="str">
        <f>LEFT(base[[#This Row],[Evento / Mercado]],FIND("/",base[[#This Row],[Evento / Mercado]])-2)</f>
        <v>UD Las Palmas vs Leganés</v>
      </c>
      <c r="T4022" s="1456">
        <f>base[[#This Row],[Data de liquidação]]</f>
        <v>46269.722893518519</v>
      </c>
    </row>
    <row r="4023" spans="2:20" ht="15" customHeight="1">
      <c r="B4023" s="1450" t="s">
        <v>4703</v>
      </c>
      <c r="C4023" s="859" t="s">
        <v>3510</v>
      </c>
      <c r="D4023" s="1451">
        <v>46269.724409722221</v>
      </c>
      <c r="E4023" s="1452">
        <v>75.64</v>
      </c>
      <c r="F4023" s="583">
        <v>4.4999999999999998E-2</v>
      </c>
      <c r="G4023" s="1453">
        <f t="shared" si="166"/>
        <v>79.204188481675402</v>
      </c>
      <c r="H4023" s="1453" t="s">
        <v>314</v>
      </c>
      <c r="I4023" s="1454" t="s">
        <v>349</v>
      </c>
      <c r="J4023" s="1453">
        <v>1.66</v>
      </c>
      <c r="K4023" s="1453">
        <v>120</v>
      </c>
      <c r="L4023" s="1451">
        <f>INT(base[[#This Row],[Data de liquidação]])</f>
        <v>46269</v>
      </c>
      <c r="M4023" s="1453">
        <f>base[[#This Row],[L/P Bruto]]-base[[#This Row],[L/P Líquido]]</f>
        <v>3.5641884816754015</v>
      </c>
      <c r="N4023" s="1453">
        <f>base[[#This Row],[L/P Líquido]]/base[[#This Row],[Stake/Responsabilidade]]</f>
        <v>0.6303333333333333</v>
      </c>
      <c r="O4023" s="1455">
        <f>IF(base[[#This Row],[L/P Líquido]]&gt;0,1,0)</f>
        <v>1</v>
      </c>
      <c r="P4023" s="1455"/>
      <c r="Q4023" s="1455" t="str">
        <f>LEFT(base[[#This Row],[Evento / Mercado]],FIND("vs",base[[#This Row],[Evento / Mercado]])-2)</f>
        <v>Paris Saint-Germain</v>
      </c>
      <c r="R4023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4023" s="1455" t="str">
        <f>LEFT(base[[#This Row],[Evento / Mercado]],FIND("/",base[[#This Row],[Evento / Mercado]])-2)</f>
        <v>Paris Saint-Germain vs AS Monaco</v>
      </c>
      <c r="T4023" s="1456">
        <f>base[[#This Row],[Data de liquidação]]</f>
        <v>46269.724409722221</v>
      </c>
    </row>
    <row r="4024" spans="2:20" ht="15" customHeight="1">
      <c r="B4024" s="1450" t="s">
        <v>4702</v>
      </c>
      <c r="C4024" s="859" t="s">
        <v>3510</v>
      </c>
      <c r="D4024" s="1451">
        <v>46269.746944444443</v>
      </c>
      <c r="E4024" s="1452">
        <v>11.36</v>
      </c>
      <c r="F4024" s="583">
        <v>4.4999999999999998E-2</v>
      </c>
      <c r="G4024" s="1453">
        <f t="shared" si="166"/>
        <v>11.895287958115183</v>
      </c>
      <c r="H4024" s="1365" t="s">
        <v>1644</v>
      </c>
      <c r="I4024" s="1433" t="s">
        <v>4682</v>
      </c>
      <c r="J4024" s="1453">
        <v>9.6</v>
      </c>
      <c r="K4024" s="1453">
        <v>102.34</v>
      </c>
      <c r="L4024" s="1451">
        <f>INT(base[[#This Row],[Data de liquidação]])</f>
        <v>46269</v>
      </c>
      <c r="M4024" s="1453">
        <f>base[[#This Row],[L/P Bruto]]-base[[#This Row],[L/P Líquido]]</f>
        <v>0.53528795811518393</v>
      </c>
      <c r="N4024" s="1453">
        <f>base[[#This Row],[L/P Líquido]]/base[[#This Row],[Stake/Responsabilidade]]</f>
        <v>0.11100254055110416</v>
      </c>
      <c r="O4024" s="1455">
        <f>IF(base[[#This Row],[L/P Líquido]]&gt;0,1,0)</f>
        <v>1</v>
      </c>
      <c r="P4024" s="1455"/>
      <c r="Q4024" s="1455" t="str">
        <f>LEFT(base[[#This Row],[Evento / Mercado]],FIND("vs",base[[#This Row],[Evento / Mercado]])-2)</f>
        <v>Sandefjord Fotball</v>
      </c>
      <c r="R402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4024" s="1455" t="str">
        <f>LEFT(base[[#This Row],[Evento / Mercado]],FIND("/",base[[#This Row],[Evento / Mercado]])-2)</f>
        <v>Sandefjord Fotball vs Viking FK</v>
      </c>
      <c r="T4024" s="1456">
        <f>base[[#This Row],[Data de liquidação]]</f>
        <v>46269.746944444443</v>
      </c>
    </row>
    <row r="4025" spans="2:20" ht="15" customHeight="1">
      <c r="B4025" s="1450" t="s">
        <v>4701</v>
      </c>
      <c r="C4025" s="859" t="s">
        <v>3510</v>
      </c>
      <c r="D4025" s="1451">
        <v>46269.761111111111</v>
      </c>
      <c r="E4025" s="1452">
        <v>20.34</v>
      </c>
      <c r="F4025" s="583">
        <v>4.4999999999999998E-2</v>
      </c>
      <c r="G4025" s="1453">
        <f t="shared" si="166"/>
        <v>21.298429319371728</v>
      </c>
      <c r="H4025" s="1401" t="s">
        <v>3365</v>
      </c>
      <c r="I4025" s="1402" t="s">
        <v>391</v>
      </c>
      <c r="J4025" s="1453">
        <f>(30*222.14+23*300.08)/base[[#This Row],[Stake/Responsabilidade]]</f>
        <v>25.977633947378497</v>
      </c>
      <c r="K4025" s="1453">
        <f>222.14+300.08</f>
        <v>522.22</v>
      </c>
      <c r="L4025" s="1451">
        <f>INT(base[[#This Row],[Data de liquidação]])</f>
        <v>46269</v>
      </c>
      <c r="M4025" s="1453">
        <f>base[[#This Row],[L/P Bruto]]-base[[#This Row],[L/P Líquido]]</f>
        <v>0.95842931937172793</v>
      </c>
      <c r="N4025" s="1453">
        <f>base[[#This Row],[L/P Líquido]]/base[[#This Row],[Stake/Responsabilidade]]</f>
        <v>3.8949101911071961E-2</v>
      </c>
      <c r="O4025" s="1455">
        <f>IF(base[[#This Row],[L/P Líquido]]&gt;0,1,0)</f>
        <v>1</v>
      </c>
      <c r="P4025" s="1464" t="s">
        <v>1202</v>
      </c>
      <c r="Q4025" s="1455" t="str">
        <f>LEFT(base[[#This Row],[Evento / Mercado]],FIND("vs",base[[#This Row],[Evento / Mercado]])-2)</f>
        <v>FC Porto</v>
      </c>
      <c r="R402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4025" s="1455" t="str">
        <f>LEFT(base[[#This Row],[Evento / Mercado]],FIND("/",base[[#This Row],[Evento / Mercado]])-2)</f>
        <v>FC Porto vs Moreirense FC</v>
      </c>
      <c r="T4025" s="1456">
        <f>base[[#This Row],[Data de liquidação]]</f>
        <v>46269.761111111111</v>
      </c>
    </row>
    <row r="4026" spans="2:20" ht="15" customHeight="1">
      <c r="B4026" s="1450" t="s">
        <v>4700</v>
      </c>
      <c r="C4026" s="859" t="s">
        <v>3510</v>
      </c>
      <c r="D4026" s="1451">
        <v>46269.937719907408</v>
      </c>
      <c r="E4026" s="1452">
        <v>13.26</v>
      </c>
      <c r="F4026" s="583">
        <v>4.4999999999999998E-2</v>
      </c>
      <c r="G4026" s="1453">
        <f t="shared" si="166"/>
        <v>13.884816753926701</v>
      </c>
      <c r="H4026" s="1365" t="s">
        <v>1644</v>
      </c>
      <c r="I4026" s="1433" t="s">
        <v>4682</v>
      </c>
      <c r="J4026" s="1453">
        <v>8</v>
      </c>
      <c r="K4026" s="1453">
        <v>97.23</v>
      </c>
      <c r="L4026" s="1451">
        <f>INT(base[[#This Row],[Data de liquidação]])</f>
        <v>46269</v>
      </c>
      <c r="M4026" s="1453">
        <f>base[[#This Row],[L/P Bruto]]-base[[#This Row],[L/P Líquido]]</f>
        <v>0.62481675392670155</v>
      </c>
      <c r="N4026" s="1453">
        <f>base[[#This Row],[L/P Líquido]]/base[[#This Row],[Stake/Responsabilidade]]</f>
        <v>0.13637766121567416</v>
      </c>
      <c r="O4026" s="1455">
        <f>IF(base[[#This Row],[L/P Líquido]]&gt;0,1,0)</f>
        <v>1</v>
      </c>
      <c r="P4026" s="1455"/>
      <c r="Q4026" s="1455" t="str">
        <f>LEFT(base[[#This Row],[Evento / Mercado]],FIND("vs",base[[#This Row],[Evento / Mercado]])-2)</f>
        <v>New York City FC</v>
      </c>
      <c r="R402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4026" s="1455" t="str">
        <f>LEFT(base[[#This Row],[Evento / Mercado]],FIND("/",base[[#This Row],[Evento / Mercado]])-2)</f>
        <v>New York City FC vs Nashville Soccer Club</v>
      </c>
      <c r="T4026" s="1456">
        <f>base[[#This Row],[Data de liquidação]]</f>
        <v>46269.937719907408</v>
      </c>
    </row>
    <row r="4027" spans="2:20" ht="15" customHeight="1">
      <c r="B4027" s="1450" t="s">
        <v>4699</v>
      </c>
      <c r="C4027" s="859" t="s">
        <v>3510</v>
      </c>
      <c r="D4027" s="1451">
        <v>46269.977835648147</v>
      </c>
      <c r="E4027" s="1452">
        <v>58.49</v>
      </c>
      <c r="F4027" s="583">
        <v>4.4999999999999998E-2</v>
      </c>
      <c r="G4027" s="1453">
        <f t="shared" si="166"/>
        <v>61.246073298429323</v>
      </c>
      <c r="H4027" s="1401" t="s">
        <v>3365</v>
      </c>
      <c r="I4027" s="1402" t="s">
        <v>391</v>
      </c>
      <c r="J4027" s="1453">
        <f>(8.2*300.02+7*19.98+7.2*49.97)/base[[#This Row],[Stake/Responsabilidade]]</f>
        <v>8.0001297402492089</v>
      </c>
      <c r="K4027" s="1453">
        <f>300.02+49.97+19.98</f>
        <v>369.97</v>
      </c>
      <c r="L4027" s="1451">
        <f>INT(base[[#This Row],[Data de liquidação]])</f>
        <v>46269</v>
      </c>
      <c r="M4027" s="1453">
        <f>base[[#This Row],[L/P Bruto]]-base[[#This Row],[L/P Líquido]]</f>
        <v>2.756073298429321</v>
      </c>
      <c r="N4027" s="1453">
        <f>base[[#This Row],[L/P Líquido]]/base[[#This Row],[Stake/Responsabilidade]]</f>
        <v>0.15809389950536529</v>
      </c>
      <c r="O4027" s="1455">
        <f>IF(base[[#This Row],[L/P Líquido]]&gt;0,1,0)</f>
        <v>1</v>
      </c>
      <c r="P4027" s="1464" t="s">
        <v>2919</v>
      </c>
      <c r="Q4027" s="1455" t="str">
        <f>LEFT(base[[#This Row],[Evento / Mercado]],FIND("vs",base[[#This Row],[Evento / Mercado]])-2)</f>
        <v>CRB</v>
      </c>
      <c r="R402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4027" s="1455" t="str">
        <f>LEFT(base[[#This Row],[Evento / Mercado]],FIND("/",base[[#This Row],[Evento / Mercado]])-2)</f>
        <v>CRB vs América-MG</v>
      </c>
      <c r="T4027" s="1456">
        <f>base[[#This Row],[Data de liquidação]]</f>
        <v>46269.977835648147</v>
      </c>
    </row>
    <row r="4028" spans="2:20" ht="15" customHeight="1">
      <c r="B4028" s="1457" t="s">
        <v>4739</v>
      </c>
      <c r="C4028" s="859" t="s">
        <v>3510</v>
      </c>
      <c r="D4028" s="1458">
        <v>46270.421956018516</v>
      </c>
      <c r="E4028" s="1459">
        <v>2.77</v>
      </c>
      <c r="F4028" s="583">
        <v>4.4999999999999998E-2</v>
      </c>
      <c r="G4028" s="1460">
        <f t="shared" ref="G4028:G4056" si="167">IF(E4028&gt;0,E4028/(1-F4028),E4028)</f>
        <v>2.9005235602094244</v>
      </c>
      <c r="H4028" s="1365" t="s">
        <v>1644</v>
      </c>
      <c r="I4028" s="1387" t="s">
        <v>3291</v>
      </c>
      <c r="J4028" s="1460">
        <v>1.58</v>
      </c>
      <c r="K4028" s="1460">
        <v>5</v>
      </c>
      <c r="L4028" s="1458">
        <f>INT(base[[#This Row],[Data de liquidação]])</f>
        <v>46270</v>
      </c>
      <c r="M4028" s="1460">
        <f>base[[#This Row],[L/P Bruto]]-base[[#This Row],[L/P Líquido]]</f>
        <v>0.13052356020942435</v>
      </c>
      <c r="N4028" s="1460">
        <f>base[[#This Row],[L/P Líquido]]/base[[#This Row],[Stake/Responsabilidade]]</f>
        <v>0.55400000000000005</v>
      </c>
      <c r="O4028" s="1462">
        <f>IF(base[[#This Row],[L/P Líquido]]&gt;0,1,0)</f>
        <v>1</v>
      </c>
      <c r="P4028" s="1462"/>
      <c r="Q4028" s="1462" t="str">
        <f>LEFT(base[[#This Row],[Evento / Mercado]],FIND("vs",base[[#This Row],[Evento / Mercado]])-2)</f>
        <v>Stade Reims</v>
      </c>
      <c r="R402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28" s="1462" t="str">
        <f>LEFT(base[[#This Row],[Evento / Mercado]],FIND("/",base[[#This Row],[Evento / Mercado]])-2)</f>
        <v>Stade Reims vs En Avant Guingamp</v>
      </c>
      <c r="T4028" s="1463">
        <f>base[[#This Row],[Data de liquidação]]</f>
        <v>46270.421956018516</v>
      </c>
    </row>
    <row r="4029" spans="2:20" ht="15" customHeight="1">
      <c r="B4029" s="1457" t="s">
        <v>4738</v>
      </c>
      <c r="C4029" s="859" t="s">
        <v>3510</v>
      </c>
      <c r="D4029" s="1458">
        <v>46270.43167824074</v>
      </c>
      <c r="E4029" s="1459">
        <v>10.51</v>
      </c>
      <c r="F4029" s="583">
        <v>4.4999999999999998E-2</v>
      </c>
      <c r="G4029" s="1460">
        <f t="shared" si="167"/>
        <v>11.005235602094242</v>
      </c>
      <c r="H4029" s="1365" t="s">
        <v>1644</v>
      </c>
      <c r="I4029" s="1402" t="s">
        <v>2272</v>
      </c>
      <c r="J4029" s="1460">
        <v>1.55</v>
      </c>
      <c r="K4029" s="1460">
        <v>20</v>
      </c>
      <c r="L4029" s="1458">
        <f>INT(base[[#This Row],[Data de liquidação]])</f>
        <v>46270</v>
      </c>
      <c r="M4029" s="1460">
        <f>base[[#This Row],[L/P Bruto]]-base[[#This Row],[L/P Líquido]]</f>
        <v>0.49523560209424211</v>
      </c>
      <c r="N4029" s="1460">
        <f>base[[#This Row],[L/P Líquido]]/base[[#This Row],[Stake/Responsabilidade]]</f>
        <v>0.52549999999999997</v>
      </c>
      <c r="O4029" s="1462">
        <f>IF(base[[#This Row],[L/P Líquido]]&gt;0,1,0)</f>
        <v>1</v>
      </c>
      <c r="P4029" s="1462"/>
      <c r="Q4029" s="1462" t="str">
        <f>LEFT(base[[#This Row],[Evento / Mercado]],FIND("vs",base[[#This Row],[Evento / Mercado]])-2)</f>
        <v>Real Sociedad B</v>
      </c>
      <c r="R402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Tenerife</v>
      </c>
      <c r="S4029" s="1462" t="str">
        <f>LEFT(base[[#This Row],[Evento / Mercado]],FIND("/",base[[#This Row],[Evento / Mercado]])-2)</f>
        <v>Real Sociedad B vs CD Tenerife</v>
      </c>
      <c r="T4029" s="1463">
        <f>base[[#This Row],[Data de liquidação]]</f>
        <v>46270.43167824074</v>
      </c>
    </row>
    <row r="4030" spans="2:20" ht="15" customHeight="1">
      <c r="B4030" s="1457" t="s">
        <v>4737</v>
      </c>
      <c r="C4030" s="859" t="s">
        <v>3510</v>
      </c>
      <c r="D4030" s="1458">
        <v>46270.452789351853</v>
      </c>
      <c r="E4030" s="1459">
        <v>22.47</v>
      </c>
      <c r="F4030" s="583">
        <v>4.4999999999999998E-2</v>
      </c>
      <c r="G4030" s="1460">
        <f t="shared" si="167"/>
        <v>23.528795811518325</v>
      </c>
      <c r="H4030" s="1434" t="s">
        <v>4683</v>
      </c>
      <c r="I4030" s="1409" t="s">
        <v>626</v>
      </c>
      <c r="J4030" s="1460">
        <v>18</v>
      </c>
      <c r="K4030" s="1460">
        <v>400.01</v>
      </c>
      <c r="L4030" s="1458">
        <f>INT(base[[#This Row],[Data de liquidação]])</f>
        <v>46270</v>
      </c>
      <c r="M4030" s="1460">
        <f>base[[#This Row],[L/P Bruto]]-base[[#This Row],[L/P Líquido]]</f>
        <v>1.0587958115183262</v>
      </c>
      <c r="N4030" s="1460">
        <f>base[[#This Row],[L/P Líquido]]/base[[#This Row],[Stake/Responsabilidade]]</f>
        <v>5.6173595660108495E-2</v>
      </c>
      <c r="O4030" s="1462">
        <f>IF(base[[#This Row],[L/P Líquido]]&gt;0,1,0)</f>
        <v>1</v>
      </c>
      <c r="P4030" s="1462"/>
      <c r="Q4030" s="1462" t="str">
        <f>LEFT(base[[#This Row],[Evento / Mercado]],FIND("vs",base[[#This Row],[Evento / Mercado]])-2)</f>
        <v>Stade Reims</v>
      </c>
      <c r="R403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30" s="1462" t="str">
        <f>LEFT(base[[#This Row],[Evento / Mercado]],FIND("/",base[[#This Row],[Evento / Mercado]])-2)</f>
        <v>Stade Reims vs En Avant Guingamp</v>
      </c>
      <c r="T4030" s="1463">
        <f>base[[#This Row],[Data de liquidação]]</f>
        <v>46270.452789351853</v>
      </c>
    </row>
    <row r="4031" spans="2:20" ht="15" customHeight="1">
      <c r="B4031" s="1457" t="s">
        <v>4736</v>
      </c>
      <c r="C4031" s="859" t="s">
        <v>3510</v>
      </c>
      <c r="D4031" s="1458">
        <v>46270.454687500001</v>
      </c>
      <c r="E4031" s="1459">
        <v>26.35</v>
      </c>
      <c r="F4031" s="583">
        <v>4.4999999999999998E-2</v>
      </c>
      <c r="G4031" s="1460">
        <f t="shared" si="167"/>
        <v>27.591623036649217</v>
      </c>
      <c r="H4031" s="1434" t="s">
        <v>4683</v>
      </c>
      <c r="I4031" s="1409" t="s">
        <v>626</v>
      </c>
      <c r="J4031" s="1460">
        <v>15.5</v>
      </c>
      <c r="K4031" s="1460">
        <v>400.06</v>
      </c>
      <c r="L4031" s="1458">
        <f>INT(base[[#This Row],[Data de liquidação]])</f>
        <v>46270</v>
      </c>
      <c r="M4031" s="1460">
        <f>base[[#This Row],[L/P Bruto]]-base[[#This Row],[L/P Líquido]]</f>
        <v>1.2416230366492158</v>
      </c>
      <c r="N4031" s="1460">
        <f>base[[#This Row],[L/P Líquido]]/base[[#This Row],[Stake/Responsabilidade]]</f>
        <v>6.586512023196521E-2</v>
      </c>
      <c r="O4031" s="1462">
        <f>IF(base[[#This Row],[L/P Líquido]]&gt;0,1,0)</f>
        <v>1</v>
      </c>
      <c r="P4031" s="1462"/>
      <c r="Q4031" s="1462" t="str">
        <f>LEFT(base[[#This Row],[Evento / Mercado]],FIND("vs",base[[#This Row],[Evento / Mercado]])-2)</f>
        <v>Hansa Rostock</v>
      </c>
      <c r="R403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4031" s="1462" t="str">
        <f>LEFT(base[[#This Row],[Evento / Mercado]],FIND("/",base[[#This Row],[Evento / Mercado]])-2)</f>
        <v>Hansa Rostock vs SV Wehen Wiesbaden</v>
      </c>
      <c r="T4031" s="1463">
        <f>base[[#This Row],[Data de liquidação]]</f>
        <v>46270.454687500001</v>
      </c>
    </row>
    <row r="4032" spans="2:20" ht="15" customHeight="1">
      <c r="B4032" s="1457" t="s">
        <v>4735</v>
      </c>
      <c r="C4032" s="859" t="s">
        <v>3510</v>
      </c>
      <c r="D4032" s="1458">
        <v>46270.494062500002</v>
      </c>
      <c r="E4032" s="1459">
        <v>55.28</v>
      </c>
      <c r="F4032" s="583">
        <v>4.4999999999999998E-2</v>
      </c>
      <c r="G4032" s="1460">
        <f t="shared" si="167"/>
        <v>57.884816753926707</v>
      </c>
      <c r="H4032" s="1434" t="s">
        <v>4683</v>
      </c>
      <c r="I4032" s="1409" t="s">
        <v>626</v>
      </c>
      <c r="J4032" s="1460">
        <v>8.6</v>
      </c>
      <c r="K4032" s="1460">
        <v>439.96</v>
      </c>
      <c r="L4032" s="1458">
        <f>INT(base[[#This Row],[Data de liquidação]])</f>
        <v>46270</v>
      </c>
      <c r="M4032" s="1460">
        <f>base[[#This Row],[L/P Bruto]]-base[[#This Row],[L/P Líquido]]</f>
        <v>2.6048167539267055</v>
      </c>
      <c r="N4032" s="1460">
        <f>base[[#This Row],[L/P Líquido]]/base[[#This Row],[Stake/Responsabilidade]]</f>
        <v>0.1256477861623784</v>
      </c>
      <c r="O4032" s="1462">
        <f>IF(base[[#This Row],[L/P Líquido]]&gt;0,1,0)</f>
        <v>1</v>
      </c>
      <c r="P4032" s="1462"/>
      <c r="Q4032" s="1462" t="str">
        <f>LEFT(base[[#This Row],[Evento / Mercado]],FIND("vs",base[[#This Row],[Evento / Mercado]])-2)</f>
        <v>Degerfors IF</v>
      </c>
      <c r="R403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4032" s="1462" t="str">
        <f>LEFT(base[[#This Row],[Evento / Mercado]],FIND("/",base[[#This Row],[Evento / Mercado]])-2)</f>
        <v>Degerfors IF vs Halmstads BK</v>
      </c>
      <c r="T4032" s="1463">
        <f>base[[#This Row],[Data de liquidação]]</f>
        <v>46270.494062500002</v>
      </c>
    </row>
    <row r="4033" spans="2:20" ht="15" customHeight="1">
      <c r="B4033" s="1457" t="s">
        <v>4734</v>
      </c>
      <c r="C4033" s="859" t="s">
        <v>3510</v>
      </c>
      <c r="D4033" s="1458">
        <v>46270.515972222223</v>
      </c>
      <c r="E4033" s="1459">
        <v>-120</v>
      </c>
      <c r="F4033" s="583">
        <v>4.4999999999999998E-2</v>
      </c>
      <c r="G4033" s="1460">
        <f t="shared" si="167"/>
        <v>-120</v>
      </c>
      <c r="H4033" s="1453" t="s">
        <v>314</v>
      </c>
      <c r="I4033" s="1454" t="s">
        <v>349</v>
      </c>
      <c r="J4033" s="1460">
        <v>1.65</v>
      </c>
      <c r="K4033" s="1460">
        <v>120</v>
      </c>
      <c r="L4033" s="1458">
        <f>INT(base[[#This Row],[Data de liquidação]])</f>
        <v>46270</v>
      </c>
      <c r="M4033" s="1460">
        <f>base[[#This Row],[L/P Bruto]]-base[[#This Row],[L/P Líquido]]</f>
        <v>0</v>
      </c>
      <c r="N4033" s="1460">
        <f>base[[#This Row],[L/P Líquido]]/base[[#This Row],[Stake/Responsabilidade]]</f>
        <v>-1</v>
      </c>
      <c r="O4033" s="1462">
        <f>IF(base[[#This Row],[L/P Líquido]]&gt;0,1,0)</f>
        <v>0</v>
      </c>
      <c r="P4033" s="1462"/>
      <c r="Q4033" s="1462" t="str">
        <f>LEFT(base[[#This Row],[Evento / Mercado]],FIND("vs",base[[#This Row],[Evento / Mercado]])-2)</f>
        <v>SC Paderborn 07</v>
      </c>
      <c r="R403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033" s="1462" t="str">
        <f>LEFT(base[[#This Row],[Evento / Mercado]],FIND("/",base[[#This Row],[Evento / Mercado]])-2)</f>
        <v>SC Paderborn 07 vs SC Freiburg</v>
      </c>
      <c r="T4033" s="1463">
        <f>base[[#This Row],[Data de liquidação]]</f>
        <v>46270.515972222223</v>
      </c>
    </row>
    <row r="4034" spans="2:20" ht="15" customHeight="1">
      <c r="B4034" s="1457" t="s">
        <v>4733</v>
      </c>
      <c r="C4034" s="859" t="s">
        <v>3510</v>
      </c>
      <c r="D4034" s="1458">
        <v>46270.534872685188</v>
      </c>
      <c r="E4034" s="1459">
        <v>55.09</v>
      </c>
      <c r="F4034" s="583">
        <v>4.4999999999999998E-2</v>
      </c>
      <c r="G4034" s="1460">
        <f t="shared" si="167"/>
        <v>57.685863874345557</v>
      </c>
      <c r="H4034" s="1434" t="s">
        <v>4683</v>
      </c>
      <c r="I4034" s="1409" t="s">
        <v>626</v>
      </c>
      <c r="J4034" s="1460">
        <v>8.8000000000000007</v>
      </c>
      <c r="K4034" s="1460">
        <v>449.98</v>
      </c>
      <c r="L4034" s="1458">
        <f>INT(base[[#This Row],[Data de liquidação]])</f>
        <v>46270</v>
      </c>
      <c r="M4034" s="1460">
        <f>base[[#This Row],[L/P Bruto]]-base[[#This Row],[L/P Líquido]]</f>
        <v>2.5958638743455538</v>
      </c>
      <c r="N4034" s="1460">
        <f>base[[#This Row],[L/P Líquido]]/base[[#This Row],[Stake/Responsabilidade]]</f>
        <v>0.12242766345170897</v>
      </c>
      <c r="O4034" s="1462">
        <f>IF(base[[#This Row],[L/P Líquido]]&gt;0,1,0)</f>
        <v>1</v>
      </c>
      <c r="P4034" s="1462"/>
      <c r="Q4034" s="1462" t="str">
        <f>LEFT(base[[#This Row],[Evento / Mercado]],FIND("vs",base[[#This Row],[Evento / Mercado]])-2)</f>
        <v>Aberdeen</v>
      </c>
      <c r="R403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4034" s="1462" t="str">
        <f>LEFT(base[[#This Row],[Evento / Mercado]],FIND("/",base[[#This Row],[Evento / Mercado]])-2)</f>
        <v>Aberdeen vs Kilmarnock</v>
      </c>
      <c r="T4034" s="1463">
        <f>base[[#This Row],[Data de liquidação]]</f>
        <v>46270.534872685188</v>
      </c>
    </row>
    <row r="4035" spans="2:20" ht="15" customHeight="1">
      <c r="B4035" s="1457" t="s">
        <v>4732</v>
      </c>
      <c r="C4035" s="859" t="s">
        <v>3510</v>
      </c>
      <c r="D4035" s="1458">
        <v>46270.536828703705</v>
      </c>
      <c r="E4035" s="1459">
        <v>29.63</v>
      </c>
      <c r="F4035" s="583">
        <v>4.4999999999999998E-2</v>
      </c>
      <c r="G4035" s="1460">
        <f t="shared" si="167"/>
        <v>31.026178010471206</v>
      </c>
      <c r="H4035" s="1434" t="s">
        <v>4683</v>
      </c>
      <c r="I4035" s="1409" t="s">
        <v>626</v>
      </c>
      <c r="J4035" s="1460">
        <v>15.5</v>
      </c>
      <c r="K4035" s="1460">
        <v>449.94</v>
      </c>
      <c r="L4035" s="1458">
        <f>INT(base[[#This Row],[Data de liquidação]])</f>
        <v>46270</v>
      </c>
      <c r="M4035" s="1460">
        <f>base[[#This Row],[L/P Bruto]]-base[[#This Row],[L/P Líquido]]</f>
        <v>1.3961780104712069</v>
      </c>
      <c r="N4035" s="1460">
        <f>base[[#This Row],[L/P Líquido]]/base[[#This Row],[Stake/Responsabilidade]]</f>
        <v>6.5853224874427699E-2</v>
      </c>
      <c r="O4035" s="1462">
        <f>IF(base[[#This Row],[L/P Líquido]]&gt;0,1,0)</f>
        <v>1</v>
      </c>
      <c r="P4035" s="1462"/>
      <c r="Q4035" s="1462" t="str">
        <f>LEFT(base[[#This Row],[Evento / Mercado]],FIND("vs",base[[#This Row],[Evento / Mercado]])-2)</f>
        <v>Millwall</v>
      </c>
      <c r="R403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Bolton Wanderers</v>
      </c>
      <c r="S4035" s="1462" t="str">
        <f>LEFT(base[[#This Row],[Evento / Mercado]],FIND("/",base[[#This Row],[Evento / Mercado]])-2)</f>
        <v>Millwall vs Bolton Wanderers</v>
      </c>
      <c r="T4035" s="1463">
        <f>base[[#This Row],[Data de liquidação]]</f>
        <v>46270.536828703705</v>
      </c>
    </row>
    <row r="4036" spans="2:20" ht="15" customHeight="1">
      <c r="B4036" s="1457" t="s">
        <v>4731</v>
      </c>
      <c r="C4036" s="859" t="s">
        <v>3510</v>
      </c>
      <c r="D4036" s="1458">
        <v>46270.537141203706</v>
      </c>
      <c r="E4036" s="1459">
        <v>-579.96</v>
      </c>
      <c r="F4036" s="583">
        <v>4.4999999999999998E-2</v>
      </c>
      <c r="G4036" s="1460">
        <f t="shared" si="167"/>
        <v>-579.96</v>
      </c>
      <c r="H4036" s="1460" t="s">
        <v>150</v>
      </c>
      <c r="I4036" s="1461" t="s">
        <v>627</v>
      </c>
      <c r="J4036" s="1460">
        <v>13</v>
      </c>
      <c r="K4036" s="1460">
        <v>579.96</v>
      </c>
      <c r="L4036" s="1458">
        <f>INT(base[[#This Row],[Data de liquidação]])</f>
        <v>46270</v>
      </c>
      <c r="M4036" s="1460">
        <f>base[[#This Row],[L/P Bruto]]-base[[#This Row],[L/P Líquido]]</f>
        <v>0</v>
      </c>
      <c r="N4036" s="1460">
        <f>base[[#This Row],[L/P Líquido]]/base[[#This Row],[Stake/Responsabilidade]]</f>
        <v>-1</v>
      </c>
      <c r="O4036" s="1462">
        <f>IF(base[[#This Row],[L/P Líquido]]&gt;0,1,0)</f>
        <v>0</v>
      </c>
      <c r="P4036" s="1462"/>
      <c r="Q4036" s="1462" t="str">
        <f>LEFT(base[[#This Row],[Evento / Mercado]],FIND("vs",base[[#This Row],[Evento / Mercado]])-2)</f>
        <v>Manchester City</v>
      </c>
      <c r="R403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6" s="1462" t="str">
        <f>LEFT(base[[#This Row],[Evento / Mercado]],FIND("/",base[[#This Row],[Evento / Mercado]])-2)</f>
        <v>Manchester City vs Coventry City</v>
      </c>
      <c r="T4036" s="1463">
        <f>base[[#This Row],[Data de liquidação]]</f>
        <v>46270.537141203706</v>
      </c>
    </row>
    <row r="4037" spans="2:20" ht="15" customHeight="1">
      <c r="B4037" s="1457" t="s">
        <v>4730</v>
      </c>
      <c r="C4037" s="859" t="s">
        <v>3510</v>
      </c>
      <c r="D4037" s="1458">
        <v>46270.537430555552</v>
      </c>
      <c r="E4037" s="1459">
        <v>22.16</v>
      </c>
      <c r="F4037" s="583">
        <v>4.4999999999999998E-2</v>
      </c>
      <c r="G4037" s="1460">
        <f t="shared" si="167"/>
        <v>23.204188481675395</v>
      </c>
      <c r="H4037" s="1401" t="s">
        <v>3365</v>
      </c>
      <c r="I4037" s="1402" t="s">
        <v>391</v>
      </c>
      <c r="J4037" s="1460">
        <f>(17.5*99.99+18.5*299.95)/base[[#This Row],[Stake/Responsabilidade]]</f>
        <v>18.249987498124717</v>
      </c>
      <c r="K4037" s="1460">
        <f>99.99+299.95</f>
        <v>399.94</v>
      </c>
      <c r="L4037" s="1458">
        <f>INT(base[[#This Row],[Data de liquidação]])</f>
        <v>46270</v>
      </c>
      <c r="M4037" s="1460">
        <f>base[[#This Row],[L/P Bruto]]-base[[#This Row],[L/P Líquido]]</f>
        <v>1.0441884816753948</v>
      </c>
      <c r="N4037" s="1460">
        <f>base[[#This Row],[L/P Líquido]]/base[[#This Row],[Stake/Responsabilidade]]</f>
        <v>5.5408311246687006E-2</v>
      </c>
      <c r="O4037" s="1462">
        <f>IF(base[[#This Row],[L/P Líquido]]&gt;0,1,0)</f>
        <v>1</v>
      </c>
      <c r="P4037" s="1464" t="s">
        <v>1200</v>
      </c>
      <c r="Q4037" s="1462" t="str">
        <f>LEFT(base[[#This Row],[Evento / Mercado]],FIND("vs",base[[#This Row],[Evento / Mercado]])-2)</f>
        <v>Manchester City</v>
      </c>
      <c r="R403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7" s="1462" t="str">
        <f>LEFT(base[[#This Row],[Evento / Mercado]],FIND("/",base[[#This Row],[Evento / Mercado]])-2)</f>
        <v>Manchester City vs Coventry City</v>
      </c>
      <c r="T4037" s="1463">
        <f>base[[#This Row],[Data de liquidação]]</f>
        <v>46270.537430555552</v>
      </c>
    </row>
    <row r="4038" spans="2:20" ht="15" customHeight="1">
      <c r="B4038" s="1457" t="s">
        <v>4729</v>
      </c>
      <c r="C4038" s="859" t="s">
        <v>3510</v>
      </c>
      <c r="D4038" s="1458">
        <v>46270.538611111115</v>
      </c>
      <c r="E4038" s="1459">
        <v>27.86</v>
      </c>
      <c r="F4038" s="583">
        <v>4.4999999999999998E-2</v>
      </c>
      <c r="G4038" s="1460">
        <f t="shared" si="167"/>
        <v>29.172774869109947</v>
      </c>
      <c r="H4038" s="1434" t="s">
        <v>4683</v>
      </c>
      <c r="I4038" s="1409" t="s">
        <v>626</v>
      </c>
      <c r="J4038" s="1460">
        <f>(17*200+13*200.04)/base[[#This Row],[Stake/Responsabilidade]]</f>
        <v>14.999800019998002</v>
      </c>
      <c r="K4038" s="1460">
        <f>200+200.04</f>
        <v>400.03999999999996</v>
      </c>
      <c r="L4038" s="1458">
        <f>INT(base[[#This Row],[Data de liquidação]])</f>
        <v>46270</v>
      </c>
      <c r="M4038" s="1460">
        <f>base[[#This Row],[L/P Bruto]]-base[[#This Row],[L/P Líquido]]</f>
        <v>1.3127748691099477</v>
      </c>
      <c r="N4038" s="1460">
        <f>base[[#This Row],[L/P Líquido]]/base[[#This Row],[Stake/Responsabilidade]]</f>
        <v>6.9643035696430364E-2</v>
      </c>
      <c r="O4038" s="1462">
        <f>IF(base[[#This Row],[L/P Líquido]]&gt;0,1,0)</f>
        <v>1</v>
      </c>
      <c r="P4038" s="1462"/>
      <c r="Q4038" s="1462" t="str">
        <f>LEFT(base[[#This Row],[Evento / Mercado]],FIND("vs",base[[#This Row],[Evento / Mercado]])-2)</f>
        <v>West Bromwich Albion</v>
      </c>
      <c r="R403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4038" s="1462" t="str">
        <f>LEFT(base[[#This Row],[Evento / Mercado]],FIND("/",base[[#This Row],[Evento / Mercado]])-2)</f>
        <v>West Bromwich Albion vs Watford</v>
      </c>
      <c r="T4038" s="1463">
        <f>base[[#This Row],[Data de liquidação]]</f>
        <v>46270.538611111115</v>
      </c>
    </row>
    <row r="4039" spans="2:20" ht="15" customHeight="1">
      <c r="B4039" s="1457" t="s">
        <v>4728</v>
      </c>
      <c r="C4039" s="859" t="s">
        <v>3510</v>
      </c>
      <c r="D4039" s="1458">
        <v>46270.538946759261</v>
      </c>
      <c r="E4039" s="1459">
        <v>-120</v>
      </c>
      <c r="F4039" s="583">
        <v>4.4999999999999998E-2</v>
      </c>
      <c r="G4039" s="1460">
        <f t="shared" si="167"/>
        <v>-120</v>
      </c>
      <c r="H4039" s="1453" t="s">
        <v>314</v>
      </c>
      <c r="I4039" s="1454" t="s">
        <v>349</v>
      </c>
      <c r="J4039" s="1460">
        <v>1.7</v>
      </c>
      <c r="K4039" s="1460">
        <v>120</v>
      </c>
      <c r="L4039" s="1458">
        <f>INT(base[[#This Row],[Data de liquidação]])</f>
        <v>46270</v>
      </c>
      <c r="M4039" s="1460">
        <f>base[[#This Row],[L/P Bruto]]-base[[#This Row],[L/P Líquido]]</f>
        <v>0</v>
      </c>
      <c r="N4039" s="1460">
        <f>base[[#This Row],[L/P Líquido]]/base[[#This Row],[Stake/Responsabilidade]]</f>
        <v>-1</v>
      </c>
      <c r="O4039" s="1462">
        <f>IF(base[[#This Row],[L/P Líquido]]&gt;0,1,0)</f>
        <v>0</v>
      </c>
      <c r="P4039" s="1462"/>
      <c r="Q4039" s="1462" t="str">
        <f>LEFT(base[[#This Row],[Evento / Mercado]],FIND("vs",base[[#This Row],[Evento / Mercado]])-2)</f>
        <v>Rangers</v>
      </c>
      <c r="R403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4039" s="1462" t="str">
        <f>LEFT(base[[#This Row],[Evento / Mercado]],FIND("/",base[[#This Row],[Evento / Mercado]])-2)</f>
        <v>Rangers vs Motherwell</v>
      </c>
      <c r="T4039" s="1463">
        <f>base[[#This Row],[Data de liquidação]]</f>
        <v>46270.538946759261</v>
      </c>
    </row>
    <row r="4040" spans="2:20" ht="15" customHeight="1">
      <c r="B4040" s="1457" t="s">
        <v>4727</v>
      </c>
      <c r="C4040" s="859" t="s">
        <v>3510</v>
      </c>
      <c r="D4040" s="1458">
        <v>46270.540034722224</v>
      </c>
      <c r="E4040" s="1459">
        <v>-120</v>
      </c>
      <c r="F4040" s="583">
        <v>4.4999999999999998E-2</v>
      </c>
      <c r="G4040" s="1460">
        <f t="shared" si="167"/>
        <v>-120</v>
      </c>
      <c r="H4040" s="1453" t="s">
        <v>314</v>
      </c>
      <c r="I4040" s="1454" t="s">
        <v>349</v>
      </c>
      <c r="J4040" s="1460">
        <v>1.66</v>
      </c>
      <c r="K4040" s="1460">
        <v>120</v>
      </c>
      <c r="L4040" s="1458">
        <f>INT(base[[#This Row],[Data de liquidação]])</f>
        <v>46270</v>
      </c>
      <c r="M4040" s="1460">
        <f>base[[#This Row],[L/P Bruto]]-base[[#This Row],[L/P Líquido]]</f>
        <v>0</v>
      </c>
      <c r="N4040" s="1460">
        <f>base[[#This Row],[L/P Líquido]]/base[[#This Row],[Stake/Responsabilidade]]</f>
        <v>-1</v>
      </c>
      <c r="O4040" s="1462">
        <f>IF(base[[#This Row],[L/P Líquido]]&gt;0,1,0)</f>
        <v>0</v>
      </c>
      <c r="P4040" s="1462"/>
      <c r="Q4040" s="1462" t="str">
        <f>LEFT(base[[#This Row],[Evento / Mercado]],FIND("vs",base[[#This Row],[Evento / Mercado]])-2)</f>
        <v>Queens Park Rangers</v>
      </c>
      <c r="R404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040" s="1462" t="str">
        <f>LEFT(base[[#This Row],[Evento / Mercado]],FIND("/",base[[#This Row],[Evento / Mercado]])-2)</f>
        <v>Queens Park Rangers vs Middlesbrough</v>
      </c>
      <c r="T4040" s="1463">
        <f>base[[#This Row],[Data de liquidação]]</f>
        <v>46270.540034722224</v>
      </c>
    </row>
    <row r="4041" spans="2:20" ht="15" customHeight="1">
      <c r="B4041" s="1457" t="s">
        <v>4726</v>
      </c>
      <c r="C4041" s="859" t="s">
        <v>3510</v>
      </c>
      <c r="D4041" s="1458">
        <v>46270.543171296296</v>
      </c>
      <c r="E4041" s="1459">
        <v>23.23</v>
      </c>
      <c r="F4041" s="583">
        <v>4.4999999999999998E-2</v>
      </c>
      <c r="G4041" s="1460">
        <f t="shared" si="167"/>
        <v>24.324607329842934</v>
      </c>
      <c r="H4041" s="1434" t="s">
        <v>4683</v>
      </c>
      <c r="I4041" s="1409" t="s">
        <v>626</v>
      </c>
      <c r="J4041" s="1460">
        <v>19.5</v>
      </c>
      <c r="K4041" s="1460">
        <v>449.92</v>
      </c>
      <c r="L4041" s="1458">
        <f>INT(base[[#This Row],[Data de liquidação]])</f>
        <v>46270</v>
      </c>
      <c r="M4041" s="1460">
        <f>base[[#This Row],[L/P Bruto]]-base[[#This Row],[L/P Líquido]]</f>
        <v>1.0946073298429333</v>
      </c>
      <c r="N4041" s="1460">
        <f>base[[#This Row],[L/P Líquido]]/base[[#This Row],[Stake/Responsabilidade]]</f>
        <v>5.1631401137980086E-2</v>
      </c>
      <c r="O4041" s="1462">
        <f>IF(base[[#This Row],[L/P Líquido]]&gt;0,1,0)</f>
        <v>1</v>
      </c>
      <c r="P4041" s="1462"/>
      <c r="Q4041" s="1462" t="str">
        <f>LEFT(base[[#This Row],[Evento / Mercado]],FIND("vs",base[[#This Row],[Evento / Mercado]])-2)</f>
        <v>Brentford</v>
      </c>
      <c r="R404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4041" s="1462" t="str">
        <f>LEFT(base[[#This Row],[Evento / Mercado]],FIND("/",base[[#This Row],[Evento / Mercado]])-2)</f>
        <v>Brentford vs Sunderland</v>
      </c>
      <c r="T4041" s="1463">
        <f>base[[#This Row],[Data de liquidação]]</f>
        <v>46270.543171296296</v>
      </c>
    </row>
    <row r="4042" spans="2:20" ht="15" customHeight="1">
      <c r="B4042" s="1457" t="s">
        <v>1528</v>
      </c>
      <c r="C4042" s="859" t="s">
        <v>3510</v>
      </c>
      <c r="D4042" s="1458">
        <v>46270.558194444442</v>
      </c>
      <c r="E4042" s="1459">
        <v>10.85</v>
      </c>
      <c r="F4042" s="583">
        <v>4.4999999999999998E-2</v>
      </c>
      <c r="G4042" s="1460">
        <f t="shared" si="167"/>
        <v>11.361256544502618</v>
      </c>
      <c r="H4042" s="1365" t="s">
        <v>1644</v>
      </c>
      <c r="I4042" s="1433" t="s">
        <v>4682</v>
      </c>
      <c r="J4042" s="1460">
        <v>9.8000000000000007</v>
      </c>
      <c r="K4042" s="1460">
        <v>99.97</v>
      </c>
      <c r="L4042" s="1458">
        <f>INT(base[[#This Row],[Data de liquidação]])</f>
        <v>46270</v>
      </c>
      <c r="M4042" s="1460">
        <f>base[[#This Row],[L/P Bruto]]-base[[#This Row],[L/P Líquido]]</f>
        <v>0.51125654450261848</v>
      </c>
      <c r="N4042" s="1460">
        <f>base[[#This Row],[L/P Líquido]]/base[[#This Row],[Stake/Responsabilidade]]</f>
        <v>0.10853255976793037</v>
      </c>
      <c r="O4042" s="1462">
        <f>IF(base[[#This Row],[L/P Líquido]]&gt;0,1,0)</f>
        <v>1</v>
      </c>
      <c r="P4042" s="1462"/>
      <c r="Q4042" s="1462" t="str">
        <f>LEFT(base[[#This Row],[Evento / Mercado]],FIND("vs",base[[#This Row],[Evento / Mercado]])-2)</f>
        <v>NEC</v>
      </c>
      <c r="R404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4042" s="1462" t="str">
        <f>LEFT(base[[#This Row],[Evento / Mercado]],FIND("/",base[[#This Row],[Evento / Mercado]])-2)</f>
        <v>NEC vs Feyenoord</v>
      </c>
      <c r="T4042" s="1463">
        <f>base[[#This Row],[Data de liquidação]]</f>
        <v>46270.558194444442</v>
      </c>
    </row>
    <row r="4043" spans="2:20" ht="15" customHeight="1">
      <c r="B4043" s="1457" t="s">
        <v>4725</v>
      </c>
      <c r="C4043" s="859" t="s">
        <v>3510</v>
      </c>
      <c r="D4043" s="1458">
        <v>46270.588912037034</v>
      </c>
      <c r="E4043" s="1459">
        <v>-499.98</v>
      </c>
      <c r="F4043" s="583">
        <v>4.4999999999999998E-2</v>
      </c>
      <c r="G4043" s="1460">
        <f t="shared" si="167"/>
        <v>-499.98</v>
      </c>
      <c r="H4043" s="1434" t="s">
        <v>4683</v>
      </c>
      <c r="I4043" s="1409" t="s">
        <v>626</v>
      </c>
      <c r="J4043" s="1460">
        <v>14</v>
      </c>
      <c r="K4043" s="1460">
        <f>300.04+199.94</f>
        <v>499.98</v>
      </c>
      <c r="L4043" s="1458">
        <f>INT(base[[#This Row],[Data de liquidação]])</f>
        <v>46270</v>
      </c>
      <c r="M4043" s="1460">
        <f>base[[#This Row],[L/P Bruto]]-base[[#This Row],[L/P Líquido]]</f>
        <v>0</v>
      </c>
      <c r="N4043" s="1460">
        <f>base[[#This Row],[L/P Líquido]]/base[[#This Row],[Stake/Responsabilidade]]</f>
        <v>-1</v>
      </c>
      <c r="O4043" s="1462">
        <f>IF(base[[#This Row],[L/P Líquido]]&gt;0,1,0)</f>
        <v>0</v>
      </c>
      <c r="P4043" s="1462"/>
      <c r="Q4043" s="1462" t="str">
        <f>LEFT(base[[#This Row],[Evento / Mercado]],FIND("vs",base[[#This Row],[Evento / Mercado]])-2)</f>
        <v>RC Lens</v>
      </c>
      <c r="R404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043" s="1462" t="str">
        <f>LEFT(base[[#This Row],[Evento / Mercado]],FIND("/",base[[#This Row],[Evento / Mercado]])-2)</f>
        <v>RC Lens vs FC Lorient</v>
      </c>
      <c r="T4043" s="1463">
        <f>base[[#This Row],[Data de liquidação]]</f>
        <v>46270.588912037034</v>
      </c>
    </row>
    <row r="4044" spans="2:20" ht="15" customHeight="1">
      <c r="B4044" s="1457" t="s">
        <v>4724</v>
      </c>
      <c r="C4044" s="859" t="s">
        <v>3510</v>
      </c>
      <c r="D4044" s="1458">
        <v>46270.596909722219</v>
      </c>
      <c r="E4044" s="1459">
        <v>-20</v>
      </c>
      <c r="F4044" s="583">
        <v>4.4999999999999998E-2</v>
      </c>
      <c r="G4044" s="1460">
        <f t="shared" si="167"/>
        <v>-20</v>
      </c>
      <c r="H4044" s="1365" t="s">
        <v>1644</v>
      </c>
      <c r="I4044" s="1402" t="s">
        <v>2272</v>
      </c>
      <c r="J4044" s="1460">
        <v>1.55</v>
      </c>
      <c r="K4044" s="1460">
        <v>20</v>
      </c>
      <c r="L4044" s="1458">
        <f>INT(base[[#This Row],[Data de liquidação]])</f>
        <v>46270</v>
      </c>
      <c r="M4044" s="1460">
        <f>base[[#This Row],[L/P Bruto]]-base[[#This Row],[L/P Líquido]]</f>
        <v>0</v>
      </c>
      <c r="N4044" s="1460">
        <f>base[[#This Row],[L/P Líquido]]/base[[#This Row],[Stake/Responsabilidade]]</f>
        <v>-1</v>
      </c>
      <c r="O4044" s="1462">
        <f>IF(base[[#This Row],[L/P Líquido]]&gt;0,1,0)</f>
        <v>0</v>
      </c>
      <c r="P4044" s="1462"/>
      <c r="Q4044" s="1462" t="str">
        <f>LEFT(base[[#This Row],[Evento / Mercado]],FIND("vs",base[[#This Row],[Evento / Mercado]])-2)</f>
        <v>Sekhukhune United</v>
      </c>
      <c r="R404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 Galaxy FC</v>
      </c>
      <c r="S4044" s="1462" t="str">
        <f>LEFT(base[[#This Row],[Evento / Mercado]],FIND("/",base[[#This Row],[Evento / Mercado]])-2)</f>
        <v>Sekhukhune United vs TS Galaxy FC</v>
      </c>
      <c r="T4044" s="1463">
        <f>base[[#This Row],[Data de liquidação]]</f>
        <v>46270.596909722219</v>
      </c>
    </row>
    <row r="4045" spans="2:20" ht="15" customHeight="1">
      <c r="B4045" s="1457" t="s">
        <v>4723</v>
      </c>
      <c r="C4045" s="859" t="s">
        <v>3510</v>
      </c>
      <c r="D4045" s="1458">
        <v>46270.597199074073</v>
      </c>
      <c r="E4045" s="1459">
        <v>6.28</v>
      </c>
      <c r="F4045" s="583">
        <v>4.4999999999999998E-2</v>
      </c>
      <c r="G4045" s="1460">
        <f t="shared" si="167"/>
        <v>6.5759162303664924</v>
      </c>
      <c r="H4045" s="1365" t="s">
        <v>1644</v>
      </c>
      <c r="I4045" s="1387" t="s">
        <v>3291</v>
      </c>
      <c r="J4045" s="1460">
        <v>2.3199999999999998</v>
      </c>
      <c r="K4045" s="1460">
        <v>5</v>
      </c>
      <c r="L4045" s="1458">
        <f>INT(base[[#This Row],[Data de liquidação]])</f>
        <v>46270</v>
      </c>
      <c r="M4045" s="1460">
        <f>base[[#This Row],[L/P Bruto]]-base[[#This Row],[L/P Líquido]]</f>
        <v>0.29591623036649217</v>
      </c>
      <c r="N4045" s="1460">
        <f>base[[#This Row],[L/P Líquido]]/base[[#This Row],[Stake/Responsabilidade]]</f>
        <v>1.256</v>
      </c>
      <c r="O4045" s="1462">
        <f>IF(base[[#This Row],[L/P Líquido]]&gt;0,1,0)</f>
        <v>1</v>
      </c>
      <c r="P4045" s="1462"/>
      <c r="Q4045" s="1462" t="str">
        <f>LEFT(base[[#This Row],[Evento / Mercado]],FIND("vs",base[[#This Row],[Evento / Mercado]])-2)</f>
        <v>MTK Budapest</v>
      </c>
      <c r="R404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4045" s="1462" t="str">
        <f>LEFT(base[[#This Row],[Evento / Mercado]],FIND("/",base[[#This Row],[Evento / Mercado]])-2)</f>
        <v>MTK Budapest vs Kisvárda</v>
      </c>
      <c r="T4045" s="1463">
        <f>base[[#This Row],[Data de liquidação]]</f>
        <v>46270.597199074073</v>
      </c>
    </row>
    <row r="4046" spans="2:20" ht="15" customHeight="1">
      <c r="B4046" s="1457" t="s">
        <v>4722</v>
      </c>
      <c r="C4046" s="859" t="s">
        <v>3510</v>
      </c>
      <c r="D4046" s="1458">
        <v>46270.6246875</v>
      </c>
      <c r="E4046" s="1459">
        <v>3.73</v>
      </c>
      <c r="F4046" s="583">
        <v>4.4999999999999998E-2</v>
      </c>
      <c r="G4046" s="1460">
        <f t="shared" si="167"/>
        <v>3.9057591623036649</v>
      </c>
      <c r="H4046" s="1365" t="s">
        <v>1644</v>
      </c>
      <c r="I4046" s="1387" t="s">
        <v>3291</v>
      </c>
      <c r="J4046" s="1460">
        <v>1.78</v>
      </c>
      <c r="K4046" s="1460">
        <v>5</v>
      </c>
      <c r="L4046" s="1458">
        <f>INT(base[[#This Row],[Data de liquidação]])</f>
        <v>46270</v>
      </c>
      <c r="M4046" s="1460">
        <f>base[[#This Row],[L/P Bruto]]-base[[#This Row],[L/P Líquido]]</f>
        <v>0.17575916230366495</v>
      </c>
      <c r="N4046" s="1460">
        <f>base[[#This Row],[L/P Líquido]]/base[[#This Row],[Stake/Responsabilidade]]</f>
        <v>0.746</v>
      </c>
      <c r="O4046" s="1462">
        <f>IF(base[[#This Row],[L/P Líquido]]&gt;0,1,0)</f>
        <v>1</v>
      </c>
      <c r="P4046" s="1462"/>
      <c r="Q4046" s="1462" t="str">
        <f>LEFT(base[[#This Row],[Evento / Mercado]],FIND("vs",base[[#This Row],[Evento / Mercado]])-2)</f>
        <v>Hapoel Jerusalem</v>
      </c>
      <c r="R404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Ironi Kiryat Shmona</v>
      </c>
      <c r="S4046" s="1462" t="str">
        <f>LEFT(base[[#This Row],[Evento / Mercado]],FIND("/",base[[#This Row],[Evento / Mercado]])-2)</f>
        <v>Hapoel Jerusalem vs Hapoel Ironi Kiryat Shmona</v>
      </c>
      <c r="T4046" s="1463">
        <f>base[[#This Row],[Data de liquidação]]</f>
        <v>46270.6246875</v>
      </c>
    </row>
    <row r="4047" spans="2:20" ht="15" customHeight="1">
      <c r="B4047" s="1457" t="s">
        <v>4721</v>
      </c>
      <c r="C4047" s="859" t="s">
        <v>3510</v>
      </c>
      <c r="D4047" s="1458">
        <v>46270.625972222224</v>
      </c>
      <c r="E4047" s="1459">
        <v>2.2000000000000002</v>
      </c>
      <c r="F4047" s="583">
        <v>4.4999999999999998E-2</v>
      </c>
      <c r="G4047" s="1460">
        <f t="shared" si="167"/>
        <v>2.3036649214659688</v>
      </c>
      <c r="H4047" s="1365" t="s">
        <v>1644</v>
      </c>
      <c r="I4047" s="1387" t="s">
        <v>3291</v>
      </c>
      <c r="J4047" s="1460">
        <v>1.46</v>
      </c>
      <c r="K4047" s="1460">
        <v>5</v>
      </c>
      <c r="L4047" s="1458">
        <f>INT(base[[#This Row],[Data de liquidação]])</f>
        <v>46270</v>
      </c>
      <c r="M4047" s="1460">
        <f>base[[#This Row],[L/P Bruto]]-base[[#This Row],[L/P Líquido]]</f>
        <v>0.10366492146596862</v>
      </c>
      <c r="N4047" s="1460">
        <f>base[[#This Row],[L/P Líquido]]/base[[#This Row],[Stake/Responsabilidade]]</f>
        <v>0.44000000000000006</v>
      </c>
      <c r="O4047" s="1462">
        <f>IF(base[[#This Row],[L/P Líquido]]&gt;0,1,0)</f>
        <v>1</v>
      </c>
      <c r="P4047" s="1462"/>
      <c r="Q4047" s="1462" t="str">
        <f>LEFT(base[[#This Row],[Evento / Mercado]],FIND("vs",base[[#This Row],[Evento / Mercado]])-2)</f>
        <v>FC Utrecht</v>
      </c>
      <c r="R404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4047" s="1462" t="str">
        <f>LEFT(base[[#This Row],[Evento / Mercado]],FIND("/",base[[#This Row],[Evento / Mercado]])-2)</f>
        <v>FC Utrecht vs Go Ahead Eagles</v>
      </c>
      <c r="T4047" s="1463">
        <f>base[[#This Row],[Data de liquidação]]</f>
        <v>46270.625972222224</v>
      </c>
    </row>
    <row r="4048" spans="2:20" ht="15" customHeight="1">
      <c r="B4048" s="1457" t="s">
        <v>4720</v>
      </c>
      <c r="C4048" s="859" t="s">
        <v>3510</v>
      </c>
      <c r="D4048" s="1458">
        <v>46270.640555555554</v>
      </c>
      <c r="E4048" s="1459">
        <v>17.989999999999998</v>
      </c>
      <c r="F4048" s="583">
        <v>4.4999999999999998E-2</v>
      </c>
      <c r="G4048" s="1460">
        <f t="shared" si="167"/>
        <v>18.837696335078533</v>
      </c>
      <c r="H4048" s="1460" t="s">
        <v>150</v>
      </c>
      <c r="I4048" s="1461" t="s">
        <v>692</v>
      </c>
      <c r="J4048" s="1460">
        <v>22</v>
      </c>
      <c r="K4048" s="1460">
        <v>395.65</v>
      </c>
      <c r="L4048" s="1458">
        <f>INT(base[[#This Row],[Data de liquidação]])</f>
        <v>46270</v>
      </c>
      <c r="M4048" s="1460">
        <f>base[[#This Row],[L/P Bruto]]-base[[#This Row],[L/P Líquido]]</f>
        <v>0.8476963350785347</v>
      </c>
      <c r="N4048" s="1460">
        <f>base[[#This Row],[L/P Líquido]]/base[[#This Row],[Stake/Responsabilidade]]</f>
        <v>4.5469480601541767E-2</v>
      </c>
      <c r="O4048" s="1462">
        <f>IF(base[[#This Row],[L/P Líquido]]&gt;0,1,0)</f>
        <v>1</v>
      </c>
      <c r="P4048" s="1462"/>
      <c r="Q4048" s="1462" t="str">
        <f>LEFT(base[[#This Row],[Evento / Mercado]],FIND("vs",base[[#This Row],[Evento / Mercado]])-2)</f>
        <v>FC Schalke 04</v>
      </c>
      <c r="R404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8" s="1462" t="str">
        <f>LEFT(base[[#This Row],[Evento / Mercado]],FIND("/",base[[#This Row],[Evento / Mercado]])-2)</f>
        <v>FC Schalke 04 vs FC Bayern München</v>
      </c>
      <c r="T4048" s="1463">
        <f>base[[#This Row],[Data de liquidação]]</f>
        <v>46270.640555555554</v>
      </c>
    </row>
    <row r="4049" spans="2:20" ht="15" customHeight="1">
      <c r="B4049" s="1457" t="s">
        <v>4719</v>
      </c>
      <c r="C4049" s="859" t="s">
        <v>3510</v>
      </c>
      <c r="D4049" s="1458">
        <v>46270.640763888892</v>
      </c>
      <c r="E4049" s="1459">
        <v>23.24</v>
      </c>
      <c r="F4049" s="583">
        <v>4.4999999999999998E-2</v>
      </c>
      <c r="G4049" s="1460">
        <f t="shared" si="167"/>
        <v>24.335078534031414</v>
      </c>
      <c r="H4049" s="1401" t="s">
        <v>3365</v>
      </c>
      <c r="I4049" s="1402" t="s">
        <v>391</v>
      </c>
      <c r="J4049" s="1460">
        <f>(18*99.96+20*300.01+16*40.05)/base[[#This Row],[Stake/Responsabilidade]]</f>
        <v>19.181582655333848</v>
      </c>
      <c r="K4049" s="1460">
        <f>99.96+300.01+40.05</f>
        <v>440.02</v>
      </c>
      <c r="L4049" s="1458">
        <f>INT(base[[#This Row],[Data de liquidação]])</f>
        <v>46270</v>
      </c>
      <c r="M4049" s="1460">
        <f>base[[#This Row],[L/P Bruto]]-base[[#This Row],[L/P Líquido]]</f>
        <v>1.0950785340314155</v>
      </c>
      <c r="N4049" s="1460">
        <f>base[[#This Row],[L/P Líquido]]/base[[#This Row],[Stake/Responsabilidade]]</f>
        <v>5.2815781100859049E-2</v>
      </c>
      <c r="O4049" s="1462">
        <f>IF(base[[#This Row],[L/P Líquido]]&gt;0,1,0)</f>
        <v>1</v>
      </c>
      <c r="P4049" s="1464" t="s">
        <v>1199</v>
      </c>
      <c r="Q4049" s="1462" t="str">
        <f>LEFT(base[[#This Row],[Evento / Mercado]],FIND("vs",base[[#This Row],[Evento / Mercado]])-2)</f>
        <v>FC Schalke 04</v>
      </c>
      <c r="R404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9" s="1462" t="str">
        <f>LEFT(base[[#This Row],[Evento / Mercado]],FIND("/",base[[#This Row],[Evento / Mercado]])-2)</f>
        <v>FC Schalke 04 vs FC Bayern München</v>
      </c>
      <c r="T4049" s="1463">
        <f>base[[#This Row],[Data de liquidação]]</f>
        <v>46270.640763888892</v>
      </c>
    </row>
    <row r="4050" spans="2:20" ht="15" customHeight="1">
      <c r="B4050" s="1457" t="s">
        <v>4718</v>
      </c>
      <c r="C4050" s="859" t="s">
        <v>3510</v>
      </c>
      <c r="D4050" s="1458">
        <v>46270.66983796296</v>
      </c>
      <c r="E4050" s="1459">
        <v>9.9499999999999993</v>
      </c>
      <c r="F4050" s="583">
        <v>4.4999999999999998E-2</v>
      </c>
      <c r="G4050" s="1460">
        <f t="shared" si="167"/>
        <v>10.418848167539267</v>
      </c>
      <c r="H4050" s="1365" t="s">
        <v>1644</v>
      </c>
      <c r="I4050" s="1402" t="s">
        <v>2272</v>
      </c>
      <c r="J4050" s="1460">
        <v>1.52</v>
      </c>
      <c r="K4050" s="1460">
        <v>20</v>
      </c>
      <c r="L4050" s="1458">
        <f>INT(base[[#This Row],[Data de liquidação]])</f>
        <v>46270</v>
      </c>
      <c r="M4050" s="1460">
        <f>base[[#This Row],[L/P Bruto]]-base[[#This Row],[L/P Líquido]]</f>
        <v>0.46884816753926728</v>
      </c>
      <c r="N4050" s="1460">
        <f>base[[#This Row],[L/P Líquido]]/base[[#This Row],[Stake/Responsabilidade]]</f>
        <v>0.49749999999999994</v>
      </c>
      <c r="O4050" s="1462">
        <f>IF(base[[#This Row],[L/P Líquido]]&gt;0,1,0)</f>
        <v>1</v>
      </c>
      <c r="P4050" s="1462"/>
      <c r="Q4050" s="1462" t="str">
        <f>LEFT(base[[#This Row],[Evento / Mercado]],FIND("vs",base[[#This Row],[Evento / Mercado]])-2)</f>
        <v>Carrarese</v>
      </c>
      <c r="R405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4050" s="1462" t="str">
        <f>LEFT(base[[#This Row],[Evento / Mercado]],FIND("/",base[[#This Row],[Evento / Mercado]])-2)</f>
        <v>Carrarese vs Empoli</v>
      </c>
      <c r="T4050" s="1463">
        <f>base[[#This Row],[Data de liquidação]]</f>
        <v>46270.66983796296</v>
      </c>
    </row>
    <row r="4051" spans="2:20" ht="15" customHeight="1">
      <c r="B4051" s="1457" t="s">
        <v>4717</v>
      </c>
      <c r="C4051" s="859" t="s">
        <v>3510</v>
      </c>
      <c r="D4051" s="1458">
        <v>46270.733229166668</v>
      </c>
      <c r="E4051" s="1459">
        <v>17.97</v>
      </c>
      <c r="F4051" s="583">
        <v>4.4999999999999998E-2</v>
      </c>
      <c r="G4051" s="1460">
        <f t="shared" si="167"/>
        <v>18.816753926701569</v>
      </c>
      <c r="H4051" s="1434" t="s">
        <v>4683</v>
      </c>
      <c r="I4051" s="1409" t="s">
        <v>626</v>
      </c>
      <c r="J4051" s="1460">
        <f>(16*150+18*149.94)/base[[#This Row],[Stake/Responsabilidade]]</f>
        <v>16.999799959992</v>
      </c>
      <c r="K4051" s="1460">
        <f>150+149.94</f>
        <v>299.94</v>
      </c>
      <c r="L4051" s="1458">
        <f>INT(base[[#This Row],[Data de liquidação]])</f>
        <v>46270</v>
      </c>
      <c r="M4051" s="1460">
        <f>base[[#This Row],[L/P Bruto]]-base[[#This Row],[L/P Líquido]]</f>
        <v>0.84675392670157024</v>
      </c>
      <c r="N4051" s="1460">
        <f>base[[#This Row],[L/P Líquido]]/base[[#This Row],[Stake/Responsabilidade]]</f>
        <v>5.9911982396479289E-2</v>
      </c>
      <c r="O4051" s="1462">
        <f>IF(base[[#This Row],[L/P Líquido]]&gt;0,1,0)</f>
        <v>1</v>
      </c>
      <c r="P4051" s="1462"/>
      <c r="Q4051" s="1462" t="str">
        <f>LEFT(base[[#This Row],[Evento / Mercado]],FIND("vs",base[[#This Row],[Evento / Mercado]])-2)</f>
        <v>Sint-Truidense VV</v>
      </c>
      <c r="R405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051" s="1462" t="str">
        <f>LEFT(base[[#This Row],[Evento / Mercado]],FIND("/",base[[#This Row],[Evento / Mercado]])-2)</f>
        <v>Sint-Truidense VV vs RAAL La Louviere</v>
      </c>
      <c r="T4051" s="1463">
        <f>base[[#This Row],[Data de liquidação]]</f>
        <v>46270.733229166668</v>
      </c>
    </row>
    <row r="4052" spans="2:20" ht="15" customHeight="1">
      <c r="B4052" s="1457" t="s">
        <v>4716</v>
      </c>
      <c r="C4052" s="859" t="s">
        <v>3510</v>
      </c>
      <c r="D4052" s="1458">
        <v>46270.745868055557</v>
      </c>
      <c r="E4052" s="1459">
        <v>-20</v>
      </c>
      <c r="F4052" s="583">
        <v>4.4999999999999998E-2</v>
      </c>
      <c r="G4052" s="1460">
        <f t="shared" si="167"/>
        <v>-20</v>
      </c>
      <c r="H4052" s="1365" t="s">
        <v>1644</v>
      </c>
      <c r="I4052" s="1402" t="s">
        <v>2272</v>
      </c>
      <c r="J4052" s="1460">
        <v>1.52</v>
      </c>
      <c r="K4052" s="1460">
        <v>20</v>
      </c>
      <c r="L4052" s="1458">
        <f>INT(base[[#This Row],[Data de liquidação]])</f>
        <v>46270</v>
      </c>
      <c r="M4052" s="1460">
        <f>base[[#This Row],[L/P Bruto]]-base[[#This Row],[L/P Líquido]]</f>
        <v>0</v>
      </c>
      <c r="N4052" s="1460">
        <f>base[[#This Row],[L/P Líquido]]/base[[#This Row],[Stake/Responsabilidade]]</f>
        <v>-1</v>
      </c>
      <c r="O4052" s="1462">
        <f>IF(base[[#This Row],[L/P Líquido]]&gt;0,1,0)</f>
        <v>0</v>
      </c>
      <c r="P4052" s="1462"/>
      <c r="Q4052" s="1462" t="str">
        <f>LEFT(base[[#This Row],[Evento / Mercado]],FIND("vs",base[[#This Row],[Evento / Mercado]])-2)</f>
        <v>Swansea City</v>
      </c>
      <c r="R405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52" s="1462" t="str">
        <f>LEFT(base[[#This Row],[Evento / Mercado]],FIND("/",base[[#This Row],[Evento / Mercado]])-2)</f>
        <v>Swansea City vs Wrexham</v>
      </c>
      <c r="T4052" s="1463">
        <f>base[[#This Row],[Data de liquidação]]</f>
        <v>46270.745868055557</v>
      </c>
    </row>
    <row r="4053" spans="2:20" ht="15" customHeight="1">
      <c r="B4053" s="1457" t="s">
        <v>4715</v>
      </c>
      <c r="C4053" s="859" t="s">
        <v>3510</v>
      </c>
      <c r="D4053" s="1458">
        <v>46270.764918981484</v>
      </c>
      <c r="E4053" s="1459">
        <v>32.81</v>
      </c>
      <c r="F4053" s="583">
        <v>4.4999999999999998E-2</v>
      </c>
      <c r="G4053" s="1460">
        <f t="shared" si="167"/>
        <v>34.356020942408378</v>
      </c>
      <c r="H4053" s="1434" t="s">
        <v>4683</v>
      </c>
      <c r="I4053" s="1461" t="s">
        <v>693</v>
      </c>
      <c r="J4053" s="1460">
        <f>(10.5*148.23+9*150)/base[[#This Row],[Stake/Responsabilidade]]</f>
        <v>9.7455487375515535</v>
      </c>
      <c r="K4053" s="1460">
        <f>148.23+150</f>
        <v>298.23</v>
      </c>
      <c r="L4053" s="1458">
        <f>INT(base[[#This Row],[Data de liquidação]])</f>
        <v>46270</v>
      </c>
      <c r="M4053" s="1460">
        <f>base[[#This Row],[L/P Bruto]]-base[[#This Row],[L/P Líquido]]</f>
        <v>1.5460209424083757</v>
      </c>
      <c r="N4053" s="1460">
        <f>base[[#This Row],[L/P Líquido]]/base[[#This Row],[Stake/Responsabilidade]]</f>
        <v>0.11001575964859336</v>
      </c>
      <c r="O4053" s="1462">
        <f>IF(base[[#This Row],[L/P Líquido]]&gt;0,1,0)</f>
        <v>1</v>
      </c>
      <c r="P4053" s="1462"/>
      <c r="Q4053" s="1462" t="str">
        <f>LEFT(base[[#This Row],[Evento / Mercado]],FIND("vs",base[[#This Row],[Evento / Mercado]])-2)</f>
        <v>St Mirren</v>
      </c>
      <c r="R405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53" s="1462" t="str">
        <f>LEFT(base[[#This Row],[Evento / Mercado]],FIND("/",base[[#This Row],[Evento / Mercado]])-2)</f>
        <v>St Mirren vs Celtic</v>
      </c>
      <c r="T4053" s="1463">
        <f>base[[#This Row],[Data de liquidação]]</f>
        <v>46270.764918981484</v>
      </c>
    </row>
    <row r="4054" spans="2:20" ht="15" customHeight="1">
      <c r="B4054" s="1457" t="s">
        <v>4714</v>
      </c>
      <c r="C4054" s="859" t="s">
        <v>3510</v>
      </c>
      <c r="D4054" s="1458">
        <v>46270.766886574071</v>
      </c>
      <c r="E4054" s="1459">
        <v>21.54</v>
      </c>
      <c r="F4054" s="583">
        <v>4.4999999999999998E-2</v>
      </c>
      <c r="G4054" s="1460">
        <f t="shared" si="167"/>
        <v>22.554973821989527</v>
      </c>
      <c r="H4054" s="1401" t="s">
        <v>3365</v>
      </c>
      <c r="I4054" s="1402" t="s">
        <v>391</v>
      </c>
      <c r="J4054" s="1460">
        <f>(17*100+18*199.92+23*100.1)/base[[#This Row],[Stake/Responsabilidade]]</f>
        <v>19.001199940002998</v>
      </c>
      <c r="K4054" s="1460">
        <f>100+199.92+100.1</f>
        <v>400.02</v>
      </c>
      <c r="L4054" s="1458">
        <f>INT(base[[#This Row],[Data de liquidação]])</f>
        <v>46270</v>
      </c>
      <c r="M4054" s="1460">
        <f>base[[#This Row],[L/P Bruto]]-base[[#This Row],[L/P Líquido]]</f>
        <v>1.0149738219895283</v>
      </c>
      <c r="N4054" s="1460">
        <f>base[[#This Row],[L/P Líquido]]/base[[#This Row],[Stake/Responsabilidade]]</f>
        <v>5.3847307634618272E-2</v>
      </c>
      <c r="O4054" s="1462">
        <f>IF(base[[#This Row],[L/P Líquido]]&gt;0,1,0)</f>
        <v>1</v>
      </c>
      <c r="P4054" s="1464" t="s">
        <v>1202</v>
      </c>
      <c r="Q4054" s="1462" t="str">
        <f>LEFT(base[[#This Row],[Evento / Mercado]],FIND("vs",base[[#This Row],[Evento / Mercado]])-2)</f>
        <v>Sporting CP</v>
      </c>
      <c r="R405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4054" s="1462" t="str">
        <f>LEFT(base[[#This Row],[Evento / Mercado]],FIND("/",base[[#This Row],[Evento / Mercado]])-2)</f>
        <v>Sporting CP vs Nacional da Madeira</v>
      </c>
      <c r="T4054" s="1463">
        <f>base[[#This Row],[Data de liquidação]]</f>
        <v>46270.766886574071</v>
      </c>
    </row>
    <row r="4055" spans="2:20" ht="15" customHeight="1">
      <c r="B4055" s="1457" t="s">
        <v>4713</v>
      </c>
      <c r="C4055" s="859" t="s">
        <v>3510</v>
      </c>
      <c r="D4055" s="1458">
        <v>46270.958124999997</v>
      </c>
      <c r="E4055" s="1459">
        <v>-120</v>
      </c>
      <c r="F4055" s="583">
        <v>4.4999999999999998E-2</v>
      </c>
      <c r="G4055" s="1460">
        <f t="shared" si="167"/>
        <v>-120</v>
      </c>
      <c r="H4055" s="1453" t="s">
        <v>314</v>
      </c>
      <c r="I4055" s="1454" t="s">
        <v>349</v>
      </c>
      <c r="J4055" s="1460">
        <v>1.92</v>
      </c>
      <c r="K4055" s="1460">
        <v>120</v>
      </c>
      <c r="L4055" s="1458">
        <f>INT(base[[#This Row],[Data de liquidação]])</f>
        <v>46270</v>
      </c>
      <c r="M4055" s="1460">
        <f>base[[#This Row],[L/P Bruto]]-base[[#This Row],[L/P Líquido]]</f>
        <v>0</v>
      </c>
      <c r="N4055" s="1460">
        <f>base[[#This Row],[L/P Líquido]]/base[[#This Row],[Stake/Responsabilidade]]</f>
        <v>-1</v>
      </c>
      <c r="O4055" s="1462">
        <f>IF(base[[#This Row],[L/P Líquido]]&gt;0,1,0)</f>
        <v>0</v>
      </c>
      <c r="P4055" s="1462"/>
      <c r="Q4055" s="1462" t="str">
        <f>LEFT(base[[#This Row],[Evento / Mercado]],FIND("vs",base[[#This Row],[Evento / Mercado]])-2)</f>
        <v>Fluminense FC</v>
      </c>
      <c r="R405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4055" s="1462" t="str">
        <f>LEFT(base[[#This Row],[Evento / Mercado]],FIND("/",base[[#This Row],[Evento / Mercado]])-2)</f>
        <v>Fluminense FC vs Vasco da Gama</v>
      </c>
      <c r="T4055" s="1463">
        <f>base[[#This Row],[Data de liquidação]]</f>
        <v>46270.958124999997</v>
      </c>
    </row>
    <row r="4056" spans="2:20" ht="15" customHeight="1">
      <c r="B4056" s="1457" t="s">
        <v>4712</v>
      </c>
      <c r="C4056" s="859" t="s">
        <v>3510</v>
      </c>
      <c r="D4056" s="1458">
        <v>46270.988043981481</v>
      </c>
      <c r="E4056" s="1459">
        <v>5.03</v>
      </c>
      <c r="F4056" s="583">
        <v>4.4999999999999998E-2</v>
      </c>
      <c r="G4056" s="1460">
        <f t="shared" si="167"/>
        <v>5.2670157068062835</v>
      </c>
      <c r="H4056" s="1365" t="s">
        <v>1644</v>
      </c>
      <c r="I4056" s="1387" t="s">
        <v>3291</v>
      </c>
      <c r="J4056" s="1460">
        <v>2.0499999999999998</v>
      </c>
      <c r="K4056" s="1460">
        <v>5</v>
      </c>
      <c r="L4056" s="1458">
        <f>INT(base[[#This Row],[Data de liquidação]])</f>
        <v>46270</v>
      </c>
      <c r="M4056" s="1460">
        <f>base[[#This Row],[L/P Bruto]]-base[[#This Row],[L/P Líquido]]</f>
        <v>0.23701570680628326</v>
      </c>
      <c r="N4056" s="1460">
        <f>base[[#This Row],[L/P Líquido]]/base[[#This Row],[Stake/Responsabilidade]]</f>
        <v>1.006</v>
      </c>
      <c r="O4056" s="1462">
        <f>IF(base[[#This Row],[L/P Líquido]]&gt;0,1,0)</f>
        <v>1</v>
      </c>
      <c r="P4056" s="1462"/>
      <c r="Q4056" s="1462" t="str">
        <f>LEFT(base[[#This Row],[Evento / Mercado]],FIND("vs",base[[#This Row],[Evento / Mercado]])-2)</f>
        <v>Universitario de Deportes</v>
      </c>
      <c r="R405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4056" s="1462" t="str">
        <f>LEFT(base[[#This Row],[Evento / Mercado]],FIND("/",base[[#This Row],[Evento / Mercado]])-2)</f>
        <v>Universitario de Deportes vs Comerciantes Unidos</v>
      </c>
      <c r="T4056" s="1463">
        <f>base[[#This Row],[Data de liquidação]]</f>
        <v>46270.988043981481</v>
      </c>
    </row>
    <row r="4057" spans="2:20" ht="15" customHeight="1">
      <c r="B4057" s="1465" t="s">
        <v>4758</v>
      </c>
      <c r="C4057" s="859" t="s">
        <v>3510</v>
      </c>
      <c r="D4057" s="1466">
        <v>46271.331099537034</v>
      </c>
      <c r="E4057" s="1467">
        <v>13.65</v>
      </c>
      <c r="F4057" s="583">
        <v>4.4999999999999998E-2</v>
      </c>
      <c r="G4057" s="1468">
        <f t="shared" ref="G4057:G4075" si="168">IF(E4057&gt;0,E4057/(1-F4057),E4057)</f>
        <v>14.293193717277488</v>
      </c>
      <c r="H4057" s="1365" t="s">
        <v>1644</v>
      </c>
      <c r="I4057" s="1433" t="s">
        <v>4682</v>
      </c>
      <c r="J4057" s="1468">
        <v>8.1999999999999993</v>
      </c>
      <c r="K4057" s="1468">
        <v>102.89</v>
      </c>
      <c r="L4057" s="1466">
        <f>INT(base[[#This Row],[Data de liquidação]])</f>
        <v>46271</v>
      </c>
      <c r="M4057" s="1468">
        <f>base[[#This Row],[L/P Bruto]]-base[[#This Row],[L/P Líquido]]</f>
        <v>0.64319371727748731</v>
      </c>
      <c r="N4057" s="1468">
        <f>base[[#This Row],[L/P Líquido]]/base[[#This Row],[Stake/Responsabilidade]]</f>
        <v>0.13266595393138303</v>
      </c>
      <c r="O4057" s="1469">
        <f>IF(base[[#This Row],[L/P Líquido]]&gt;0,1,0)</f>
        <v>1</v>
      </c>
      <c r="P4057" s="1469"/>
      <c r="Q4057" s="1469" t="str">
        <f>LEFT(base[[#This Row],[Evento / Mercado]],FIND("vs",base[[#This Row],[Evento / Mercado]])-2)</f>
        <v>Blaublitz Akita</v>
      </c>
      <c r="R405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Omiya Ardija</v>
      </c>
      <c r="S4057" s="1469" t="str">
        <f>LEFT(base[[#This Row],[Evento / Mercado]],FIND("/",base[[#This Row],[Evento / Mercado]])-2)</f>
        <v>Blaublitz Akita vs RB Omiya Ardija</v>
      </c>
      <c r="T4057" s="1470">
        <f>base[[#This Row],[Data de liquidação]]</f>
        <v>46271.331099537034</v>
      </c>
    </row>
    <row r="4058" spans="2:20" ht="15" customHeight="1">
      <c r="B4058" s="1465" t="s">
        <v>4757</v>
      </c>
      <c r="C4058" s="859" t="s">
        <v>3510</v>
      </c>
      <c r="D4058" s="1466">
        <v>46271.432638888888</v>
      </c>
      <c r="E4058" s="1467">
        <v>24.15</v>
      </c>
      <c r="F4058" s="583">
        <v>4.4999999999999998E-2</v>
      </c>
      <c r="G4058" s="1468">
        <f t="shared" si="168"/>
        <v>25.287958115183244</v>
      </c>
      <c r="H4058" s="1434" t="s">
        <v>4683</v>
      </c>
      <c r="I4058" s="1461" t="s">
        <v>693</v>
      </c>
      <c r="J4058" s="1468">
        <v>18</v>
      </c>
      <c r="K4058" s="1468">
        <v>429.93</v>
      </c>
      <c r="L4058" s="1466">
        <f>INT(base[[#This Row],[Data de liquidação]])</f>
        <v>46271</v>
      </c>
      <c r="M4058" s="1468">
        <f>base[[#This Row],[L/P Bruto]]-base[[#This Row],[L/P Líquido]]</f>
        <v>1.1379581151832454</v>
      </c>
      <c r="N4058" s="1468">
        <f>base[[#This Row],[L/P Líquido]]/base[[#This Row],[Stake/Responsabilidade]]</f>
        <v>5.6171934966157279E-2</v>
      </c>
      <c r="O4058" s="1469">
        <f>IF(base[[#This Row],[L/P Líquido]]&gt;0,1,0)</f>
        <v>1</v>
      </c>
      <c r="P4058" s="1469"/>
      <c r="Q4058" s="1469" t="str">
        <f>LEFT(base[[#This Row],[Evento / Mercado]],FIND("vs",base[[#This Row],[Evento / Mercado]])-2)</f>
        <v>Paide Linnameeskond</v>
      </c>
      <c r="R405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4058" s="1469" t="str">
        <f>LEFT(base[[#This Row],[Evento / Mercado]],FIND("/",base[[#This Row],[Evento / Mercado]])-2)</f>
        <v>Paide Linnameeskond vs Tallinna FC Levadia</v>
      </c>
      <c r="T4058" s="1470">
        <f>base[[#This Row],[Data de liquidação]]</f>
        <v>46271.432638888888</v>
      </c>
    </row>
    <row r="4059" spans="2:20" ht="15" customHeight="1">
      <c r="B4059" s="1465" t="s">
        <v>4756</v>
      </c>
      <c r="C4059" s="859" t="s">
        <v>3510</v>
      </c>
      <c r="D4059" s="1466">
        <v>46271.484803240739</v>
      </c>
      <c r="E4059" s="1467">
        <v>4.42</v>
      </c>
      <c r="F4059" s="583">
        <v>4.4999999999999998E-2</v>
      </c>
      <c r="G4059" s="1468">
        <f t="shared" si="168"/>
        <v>4.6282722513089007</v>
      </c>
      <c r="H4059" s="1365" t="s">
        <v>1644</v>
      </c>
      <c r="I4059" s="1387" t="s">
        <v>3291</v>
      </c>
      <c r="J4059" s="1468">
        <v>1.93</v>
      </c>
      <c r="K4059" s="1468">
        <v>5</v>
      </c>
      <c r="L4059" s="1466">
        <f>INT(base[[#This Row],[Data de liquidação]])</f>
        <v>46271</v>
      </c>
      <c r="M4059" s="1468">
        <f>base[[#This Row],[L/P Bruto]]-base[[#This Row],[L/P Líquido]]</f>
        <v>0.20827225130890081</v>
      </c>
      <c r="N4059" s="1468">
        <f>base[[#This Row],[L/P Líquido]]/base[[#This Row],[Stake/Responsabilidade]]</f>
        <v>0.88400000000000001</v>
      </c>
      <c r="O4059" s="1469">
        <f>IF(base[[#This Row],[L/P Líquido]]&gt;0,1,0)</f>
        <v>1</v>
      </c>
      <c r="P4059" s="1469"/>
      <c r="Q4059" s="1469" t="str">
        <f>LEFT(base[[#This Row],[Evento / Mercado]],FIND("vs",base[[#This Row],[Evento / Mercado]])-2)</f>
        <v>Virtus Entella</v>
      </c>
      <c r="R405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Vicenza</v>
      </c>
      <c r="S4059" s="1469" t="str">
        <f>LEFT(base[[#This Row],[Evento / Mercado]],FIND("/",base[[#This Row],[Evento / Mercado]])-2)</f>
        <v>Virtus Entella vs Vicenza</v>
      </c>
      <c r="T4059" s="1470">
        <f>base[[#This Row],[Data de liquidação]]</f>
        <v>46271.484803240739</v>
      </c>
    </row>
    <row r="4060" spans="2:20" ht="15" customHeight="1">
      <c r="B4060" s="1465" t="s">
        <v>4755</v>
      </c>
      <c r="C4060" s="859" t="s">
        <v>3510</v>
      </c>
      <c r="D4060" s="1466">
        <v>46271.537361111114</v>
      </c>
      <c r="E4060" s="1467">
        <v>-120</v>
      </c>
      <c r="F4060" s="583">
        <v>4.4999999999999998E-2</v>
      </c>
      <c r="G4060" s="1468">
        <f t="shared" si="168"/>
        <v>-120</v>
      </c>
      <c r="H4060" s="1453" t="s">
        <v>314</v>
      </c>
      <c r="I4060" s="1454" t="s">
        <v>349</v>
      </c>
      <c r="J4060" s="1468">
        <v>1.63</v>
      </c>
      <c r="K4060" s="1468">
        <v>120</v>
      </c>
      <c r="L4060" s="1466">
        <f>INT(base[[#This Row],[Data de liquidação]])</f>
        <v>46271</v>
      </c>
      <c r="M4060" s="1468">
        <f>base[[#This Row],[L/P Bruto]]-base[[#This Row],[L/P Líquido]]</f>
        <v>0</v>
      </c>
      <c r="N4060" s="1468">
        <f>base[[#This Row],[L/P Líquido]]/base[[#This Row],[Stake/Responsabilidade]]</f>
        <v>-1</v>
      </c>
      <c r="O4060" s="1469">
        <f>IF(base[[#This Row],[L/P Líquido]]&gt;0,1,0)</f>
        <v>0</v>
      </c>
      <c r="P4060" s="1469"/>
      <c r="Q4060" s="1469" t="str">
        <f>LEFT(base[[#This Row],[Evento / Mercado]],FIND("vs",base[[#This Row],[Evento / Mercado]])-2)</f>
        <v>Odense BK</v>
      </c>
      <c r="R406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4060" s="1469" t="str">
        <f>LEFT(base[[#This Row],[Evento / Mercado]],FIND("/",base[[#This Row],[Evento / Mercado]])-2)</f>
        <v>Odense BK vs FC København</v>
      </c>
      <c r="T4060" s="1470">
        <f>base[[#This Row],[Data de liquidação]]</f>
        <v>46271.537361111114</v>
      </c>
    </row>
    <row r="4061" spans="2:20" ht="15" customHeight="1">
      <c r="B4061" s="1465" t="s">
        <v>4754</v>
      </c>
      <c r="C4061" s="859" t="s">
        <v>3510</v>
      </c>
      <c r="D4061" s="1466">
        <v>46271.538703703707</v>
      </c>
      <c r="E4061" s="1467">
        <v>51.16</v>
      </c>
      <c r="F4061" s="583">
        <v>4.4999999999999998E-2</v>
      </c>
      <c r="G4061" s="1468">
        <f t="shared" si="168"/>
        <v>53.57068062827225</v>
      </c>
      <c r="H4061" s="1434" t="s">
        <v>4683</v>
      </c>
      <c r="I4061" s="1409" t="s">
        <v>626</v>
      </c>
      <c r="J4061" s="1468">
        <v>9.4</v>
      </c>
      <c r="K4061" s="1468">
        <v>449.99</v>
      </c>
      <c r="L4061" s="1466">
        <f>INT(base[[#This Row],[Data de liquidação]])</f>
        <v>46271</v>
      </c>
      <c r="M4061" s="1468">
        <f>base[[#This Row],[L/P Bruto]]-base[[#This Row],[L/P Líquido]]</f>
        <v>2.410680628272253</v>
      </c>
      <c r="N4061" s="1468">
        <f>base[[#This Row],[L/P Líquido]]/base[[#This Row],[Stake/Responsabilidade]]</f>
        <v>0.11369141536478587</v>
      </c>
      <c r="O4061" s="1469">
        <f>IF(base[[#This Row],[L/P Líquido]]&gt;0,1,0)</f>
        <v>1</v>
      </c>
      <c r="P4061" s="1469"/>
      <c r="Q4061" s="1469" t="str">
        <f>LEFT(base[[#This Row],[Evento / Mercado]],FIND("vs",base[[#This Row],[Evento / Mercado]])-2)</f>
        <v>Stjarnan</v>
      </c>
      <c r="R406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4061" s="1469" t="str">
        <f>LEFT(base[[#This Row],[Evento / Mercado]],FIND("/",base[[#This Row],[Evento / Mercado]])-2)</f>
        <v>Stjarnan vs ÍB Vestmannaeyja</v>
      </c>
      <c r="T4061" s="1470">
        <f>base[[#This Row],[Data de liquidação]]</f>
        <v>46271.538703703707</v>
      </c>
    </row>
    <row r="4062" spans="2:20" ht="15" customHeight="1">
      <c r="B4062" s="1465" t="s">
        <v>4753</v>
      </c>
      <c r="C4062" s="859" t="s">
        <v>3510</v>
      </c>
      <c r="D4062" s="1466">
        <v>46271.545104166667</v>
      </c>
      <c r="E4062" s="1467">
        <v>1.74</v>
      </c>
      <c r="F4062" s="583">
        <v>4.4999999999999998E-2</v>
      </c>
      <c r="G4062" s="1468">
        <f t="shared" si="168"/>
        <v>1.8219895287958117</v>
      </c>
      <c r="H4062" s="1365" t="s">
        <v>1644</v>
      </c>
      <c r="I4062" s="1387" t="s">
        <v>3291</v>
      </c>
      <c r="J4062" s="1468">
        <v>1.36</v>
      </c>
      <c r="K4062" s="1468">
        <v>5</v>
      </c>
      <c r="L4062" s="1466">
        <f>INT(base[[#This Row],[Data de liquidação]])</f>
        <v>46271</v>
      </c>
      <c r="M4062" s="1468">
        <f>base[[#This Row],[L/P Bruto]]-base[[#This Row],[L/P Líquido]]</f>
        <v>8.1989528795811673E-2</v>
      </c>
      <c r="N4062" s="1468">
        <f>base[[#This Row],[L/P Líquido]]/base[[#This Row],[Stake/Responsabilidade]]</f>
        <v>0.34799999999999998</v>
      </c>
      <c r="O4062" s="1469">
        <f>IF(base[[#This Row],[L/P Líquido]]&gt;0,1,0)</f>
        <v>1</v>
      </c>
      <c r="P4062" s="1469"/>
      <c r="Q4062" s="1469" t="str">
        <f>LEFT(base[[#This Row],[Evento / Mercado]],FIND("vs",base[[#This Row],[Evento / Mercado]])-2)</f>
        <v>Hearts</v>
      </c>
      <c r="R406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2" s="1469" t="str">
        <f>LEFT(base[[#This Row],[Evento / Mercado]],FIND("/",base[[#This Row],[Evento / Mercado]])-2)</f>
        <v>Hearts vs Dundee</v>
      </c>
      <c r="T4062" s="1470">
        <f>base[[#This Row],[Data de liquidação]]</f>
        <v>46271.545104166667</v>
      </c>
    </row>
    <row r="4063" spans="2:20" ht="15" customHeight="1">
      <c r="B4063" s="1465" t="s">
        <v>4752</v>
      </c>
      <c r="C4063" s="859" t="s">
        <v>3510</v>
      </c>
      <c r="D4063" s="1466">
        <v>46271.545844907407</v>
      </c>
      <c r="E4063" s="1467">
        <v>67.150000000000006</v>
      </c>
      <c r="F4063" s="583">
        <v>4.4999999999999998E-2</v>
      </c>
      <c r="G4063" s="1468">
        <f t="shared" si="168"/>
        <v>70.314136125654457</v>
      </c>
      <c r="H4063" s="1434" t="s">
        <v>4683</v>
      </c>
      <c r="I4063" s="1409" t="s">
        <v>626</v>
      </c>
      <c r="J4063" s="1468">
        <v>7.4</v>
      </c>
      <c r="K4063" s="1468">
        <v>449.98</v>
      </c>
      <c r="L4063" s="1466">
        <f>INT(base[[#This Row],[Data de liquidação]])</f>
        <v>46271</v>
      </c>
      <c r="M4063" s="1468">
        <f>base[[#This Row],[L/P Bruto]]-base[[#This Row],[L/P Líquido]]</f>
        <v>3.1641361256544513</v>
      </c>
      <c r="N4063" s="1468">
        <f>base[[#This Row],[L/P Líquido]]/base[[#This Row],[Stake/Responsabilidade]]</f>
        <v>0.14922885461576071</v>
      </c>
      <c r="O4063" s="1469">
        <f>IF(base[[#This Row],[L/P Líquido]]&gt;0,1,0)</f>
        <v>1</v>
      </c>
      <c r="P4063" s="1469"/>
      <c r="Q4063" s="1469" t="str">
        <f>LEFT(base[[#This Row],[Evento / Mercado]],FIND("vs",base[[#This Row],[Evento / Mercado]])-2)</f>
        <v>Hearts</v>
      </c>
      <c r="R406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3" s="1469" t="str">
        <f>LEFT(base[[#This Row],[Evento / Mercado]],FIND("/",base[[#This Row],[Evento / Mercado]])-2)</f>
        <v>Hearts vs Dundee</v>
      </c>
      <c r="T4063" s="1470">
        <f>base[[#This Row],[Data de liquidação]]</f>
        <v>46271.545844907407</v>
      </c>
    </row>
    <row r="4064" spans="2:20" ht="15" customHeight="1">
      <c r="B4064" s="1465" t="s">
        <v>4751</v>
      </c>
      <c r="C4064" s="859" t="s">
        <v>3510</v>
      </c>
      <c r="D4064" s="1466">
        <v>46271.557326388887</v>
      </c>
      <c r="E4064" s="1467">
        <v>11.11</v>
      </c>
      <c r="F4064" s="583">
        <v>4.4999999999999998E-2</v>
      </c>
      <c r="G4064" s="1468">
        <f t="shared" si="168"/>
        <v>11.633507853403142</v>
      </c>
      <c r="H4064" s="1365" t="s">
        <v>1644</v>
      </c>
      <c r="I4064" s="1433" t="s">
        <v>4682</v>
      </c>
      <c r="J4064" s="1468">
        <v>9.6</v>
      </c>
      <c r="K4064" s="1468">
        <v>100.02</v>
      </c>
      <c r="L4064" s="1466">
        <f>INT(base[[#This Row],[Data de liquidação]])</f>
        <v>46271</v>
      </c>
      <c r="M4064" s="1468">
        <f>base[[#This Row],[L/P Bruto]]-base[[#This Row],[L/P Líquido]]</f>
        <v>0.52350785340314232</v>
      </c>
      <c r="N4064" s="1468">
        <f>base[[#This Row],[L/P Líquido]]/base[[#This Row],[Stake/Responsabilidade]]</f>
        <v>0.11107778444311138</v>
      </c>
      <c r="O4064" s="1469">
        <f>IF(base[[#This Row],[L/P Líquido]]&gt;0,1,0)</f>
        <v>1</v>
      </c>
      <c r="P4064" s="1469"/>
      <c r="Q4064" s="1469" t="str">
        <f>LEFT(base[[#This Row],[Evento / Mercado]],FIND("vs",base[[#This Row],[Evento / Mercado]])-2)</f>
        <v>FC Basel</v>
      </c>
      <c r="R406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4064" s="1469" t="str">
        <f>LEFT(base[[#This Row],[Evento / Mercado]],FIND("/",base[[#This Row],[Evento / Mercado]])-2)</f>
        <v>FC Basel vs FC Lugano</v>
      </c>
      <c r="T4064" s="1470">
        <f>base[[#This Row],[Data de liquidação]]</f>
        <v>46271.557326388887</v>
      </c>
    </row>
    <row r="4065" spans="2:20" ht="15" customHeight="1">
      <c r="B4065" s="1465" t="s">
        <v>4750</v>
      </c>
      <c r="C4065" s="859" t="s">
        <v>3510</v>
      </c>
      <c r="D4065" s="1466">
        <v>46271.576979166668</v>
      </c>
      <c r="E4065" s="1467">
        <v>36.9</v>
      </c>
      <c r="F4065" s="583">
        <v>4.4999999999999998E-2</v>
      </c>
      <c r="G4065" s="1468">
        <f t="shared" si="168"/>
        <v>38.638743455497384</v>
      </c>
      <c r="H4065" s="1434" t="s">
        <v>4683</v>
      </c>
      <c r="I4065" s="1409" t="s">
        <v>626</v>
      </c>
      <c r="J4065" s="1468">
        <f>(12.5*149.96+13*307.2)/base[[#This Row],[Stake/Responsabilidade]]</f>
        <v>12.835987400472485</v>
      </c>
      <c r="K4065" s="1468">
        <f>149.96+307.2</f>
        <v>457.15999999999997</v>
      </c>
      <c r="L4065" s="1466">
        <f>INT(base[[#This Row],[Data de liquidação]])</f>
        <v>46271</v>
      </c>
      <c r="M4065" s="1468">
        <f>base[[#This Row],[L/P Bruto]]-base[[#This Row],[L/P Líquido]]</f>
        <v>1.7387434554973851</v>
      </c>
      <c r="N4065" s="1468">
        <f>base[[#This Row],[L/P Líquido]]/base[[#This Row],[Stake/Responsabilidade]]</f>
        <v>8.0715723160381489E-2</v>
      </c>
      <c r="O4065" s="1469">
        <f>IF(base[[#This Row],[L/P Líquido]]&gt;0,1,0)</f>
        <v>1</v>
      </c>
      <c r="P4065" s="1469"/>
      <c r="Q4065" s="1469" t="str">
        <f>LEFT(base[[#This Row],[Evento / Mercado]],FIND("vs",base[[#This Row],[Evento / Mercado]])-2)</f>
        <v>FK Auda</v>
      </c>
      <c r="R406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Grobinas</v>
      </c>
      <c r="S4065" s="1469" t="str">
        <f>LEFT(base[[#This Row],[Evento / Mercado]],FIND("/",base[[#This Row],[Evento / Mercado]])-2)</f>
        <v>FK Auda vs FK Grobinas</v>
      </c>
      <c r="T4065" s="1470">
        <f>base[[#This Row],[Data de liquidação]]</f>
        <v>46271.576979166668</v>
      </c>
    </row>
    <row r="4066" spans="2:20" ht="15" customHeight="1">
      <c r="B4066" s="1465" t="s">
        <v>4749</v>
      </c>
      <c r="C4066" s="859" t="s">
        <v>3510</v>
      </c>
      <c r="D4066" s="1466">
        <v>46271.578483796293</v>
      </c>
      <c r="E4066" s="1467">
        <v>31.83</v>
      </c>
      <c r="F4066" s="583">
        <v>4.4999999999999998E-2</v>
      </c>
      <c r="G4066" s="1468">
        <f t="shared" si="168"/>
        <v>33.329842931937172</v>
      </c>
      <c r="H4066" s="1401" t="s">
        <v>3365</v>
      </c>
      <c r="I4066" s="1402" t="s">
        <v>391</v>
      </c>
      <c r="J4066" s="1468">
        <v>10</v>
      </c>
      <c r="K4066" s="1468">
        <v>299.97000000000003</v>
      </c>
      <c r="L4066" s="1466">
        <f>INT(base[[#This Row],[Data de liquidação]])</f>
        <v>46271</v>
      </c>
      <c r="M4066" s="1468">
        <f>base[[#This Row],[L/P Bruto]]-base[[#This Row],[L/P Líquido]]</f>
        <v>1.4998429319371738</v>
      </c>
      <c r="N4066" s="1468">
        <f>base[[#This Row],[L/P Líquido]]/base[[#This Row],[Stake/Responsabilidade]]</f>
        <v>0.1061106110611061</v>
      </c>
      <c r="O4066" s="1469">
        <f>IF(base[[#This Row],[L/P Líquido]]&gt;0,1,0)</f>
        <v>1</v>
      </c>
      <c r="P4066" s="1469" t="s">
        <v>2006</v>
      </c>
      <c r="Q4066" s="1469" t="str">
        <f>LEFT(base[[#This Row],[Evento / Mercado]],FIND("vs",base[[#This Row],[Evento / Mercado]])-2)</f>
        <v>Molde</v>
      </c>
      <c r="R4066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4066" s="1469" t="str">
        <f>LEFT(base[[#This Row],[Evento / Mercado]],FIND("/",base[[#This Row],[Evento / Mercado]])-2)</f>
        <v>Molde vs KFUM Oslo</v>
      </c>
      <c r="T4066" s="1470">
        <f>base[[#This Row],[Data de liquidação]]</f>
        <v>46271.578483796293</v>
      </c>
    </row>
    <row r="4067" spans="2:20" ht="15" customHeight="1">
      <c r="B4067" s="1465" t="s">
        <v>4748</v>
      </c>
      <c r="C4067" s="859" t="s">
        <v>3510</v>
      </c>
      <c r="D4067" s="1466">
        <v>46271.599629629629</v>
      </c>
      <c r="E4067" s="1467">
        <v>38.840000000000003</v>
      </c>
      <c r="F4067" s="583">
        <v>4.4999999999999998E-2</v>
      </c>
      <c r="G4067" s="1468">
        <f t="shared" si="168"/>
        <v>40.670157068062835</v>
      </c>
      <c r="H4067" s="1434" t="s">
        <v>4683</v>
      </c>
      <c r="I4067" s="1409" t="s">
        <v>626</v>
      </c>
      <c r="J4067" s="1468">
        <f>(13.5*300+13*200.04)/base[[#This Row],[Stake/Responsabilidade]]</f>
        <v>13.299976001919848</v>
      </c>
      <c r="K4067" s="1468">
        <f>300+200.04</f>
        <v>500.03999999999996</v>
      </c>
      <c r="L4067" s="1466">
        <f>INT(base[[#This Row],[Data de liquidação]])</f>
        <v>46271</v>
      </c>
      <c r="M4067" s="1468">
        <f>base[[#This Row],[L/P Bruto]]-base[[#This Row],[L/P Líquido]]</f>
        <v>1.8301570680628316</v>
      </c>
      <c r="N4067" s="1468">
        <f>base[[#This Row],[L/P Líquido]]/base[[#This Row],[Stake/Responsabilidade]]</f>
        <v>7.7673786097112243E-2</v>
      </c>
      <c r="O4067" s="1469">
        <f>IF(base[[#This Row],[L/P Líquido]]&gt;0,1,0)</f>
        <v>1</v>
      </c>
      <c r="P4067" s="1469"/>
      <c r="Q4067" s="1469" t="str">
        <f>LEFT(base[[#This Row],[Evento / Mercado]],FIND("vs",base[[#This Row],[Evento / Mercado]])-2)</f>
        <v>Lech Poznan</v>
      </c>
      <c r="R406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Rakow Czestochowa</v>
      </c>
      <c r="S4067" s="1469" t="str">
        <f>LEFT(base[[#This Row],[Evento / Mercado]],FIND("/",base[[#This Row],[Evento / Mercado]])-2)</f>
        <v>Lech Poznan vs Rakow Czestochowa</v>
      </c>
      <c r="T4067" s="1470">
        <f>base[[#This Row],[Data de liquidação]]</f>
        <v>46271.599629629629</v>
      </c>
    </row>
    <row r="4068" spans="2:20" ht="15" customHeight="1">
      <c r="B4068" s="1465" t="s">
        <v>4747</v>
      </c>
      <c r="C4068" s="859" t="s">
        <v>3510</v>
      </c>
      <c r="D4068" s="1466">
        <v>46271.602210648147</v>
      </c>
      <c r="E4068" s="1467">
        <v>28.96</v>
      </c>
      <c r="F4068" s="583">
        <v>4.4999999999999998E-2</v>
      </c>
      <c r="G4068" s="1468">
        <f t="shared" si="168"/>
        <v>30.324607329842934</v>
      </c>
      <c r="H4068" s="1434" t="s">
        <v>4683</v>
      </c>
      <c r="I4068" s="1409" t="s">
        <v>626</v>
      </c>
      <c r="J4068" s="1468">
        <v>16.43</v>
      </c>
      <c r="K4068" s="1468">
        <v>467.91</v>
      </c>
      <c r="L4068" s="1466">
        <f>INT(base[[#This Row],[Data de liquidação]])</f>
        <v>46271</v>
      </c>
      <c r="M4068" s="1468">
        <f>base[[#This Row],[L/P Bruto]]-base[[#This Row],[L/P Líquido]]</f>
        <v>1.3646073298429329</v>
      </c>
      <c r="N4068" s="1468">
        <f>base[[#This Row],[L/P Líquido]]/base[[#This Row],[Stake/Responsabilidade]]</f>
        <v>6.1892244235002454E-2</v>
      </c>
      <c r="O4068" s="1469">
        <f>IF(base[[#This Row],[L/P Líquido]]&gt;0,1,0)</f>
        <v>1</v>
      </c>
      <c r="P4068" s="1469"/>
      <c r="Q4068" s="1469" t="str">
        <f>LEFT(base[[#This Row],[Evento / Mercado]],FIND("vs",base[[#This Row],[Evento / Mercado]])-2)</f>
        <v>Arsenal</v>
      </c>
      <c r="R406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4068" s="1469" t="str">
        <f>LEFT(base[[#This Row],[Evento / Mercado]],FIND("/",base[[#This Row],[Evento / Mercado]])-2)</f>
        <v>Arsenal vs Chelsea</v>
      </c>
      <c r="T4068" s="1470">
        <f>base[[#This Row],[Data de liquidação]]</f>
        <v>46271.602210648147</v>
      </c>
    </row>
    <row r="4069" spans="2:20" ht="15" customHeight="1">
      <c r="B4069" s="1465" t="s">
        <v>4746</v>
      </c>
      <c r="C4069" s="859" t="s">
        <v>3510</v>
      </c>
      <c r="D4069" s="1466">
        <v>46271.610925925925</v>
      </c>
      <c r="E4069" s="1467">
        <v>126.1</v>
      </c>
      <c r="F4069" s="583">
        <v>4.4999999999999998E-2</v>
      </c>
      <c r="G4069" s="1468">
        <f t="shared" si="168"/>
        <v>132.04188481675394</v>
      </c>
      <c r="H4069" s="1453" t="s">
        <v>314</v>
      </c>
      <c r="I4069" s="1454" t="s">
        <v>349</v>
      </c>
      <c r="J4069" s="1468">
        <v>2.1</v>
      </c>
      <c r="K4069" s="1468">
        <v>120</v>
      </c>
      <c r="L4069" s="1466">
        <f>INT(base[[#This Row],[Data de liquidação]])</f>
        <v>46271</v>
      </c>
      <c r="M4069" s="1468">
        <f>base[[#This Row],[L/P Bruto]]-base[[#This Row],[L/P Líquido]]</f>
        <v>5.9418848167539409</v>
      </c>
      <c r="N4069" s="1468">
        <f>base[[#This Row],[L/P Líquido]]/base[[#This Row],[Stake/Responsabilidade]]</f>
        <v>1.0508333333333333</v>
      </c>
      <c r="O4069" s="1469">
        <f>IF(base[[#This Row],[L/P Líquido]]&gt;0,1,0)</f>
        <v>1</v>
      </c>
      <c r="P4069" s="1469"/>
      <c r="Q4069" s="1469" t="str">
        <f>LEFT(base[[#This Row],[Evento / Mercado]],FIND("vs",base[[#This Row],[Evento / Mercado]])-2)</f>
        <v>Deportivo Alaves</v>
      </c>
      <c r="R406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4069" s="1469" t="str">
        <f>LEFT(base[[#This Row],[Evento / Mercado]],FIND("/",base[[#This Row],[Evento / Mercado]])-2)</f>
        <v>Deportivo Alaves vs Osasuna</v>
      </c>
      <c r="T4069" s="1470">
        <f>base[[#This Row],[Data de liquidação]]</f>
        <v>46271.610925925925</v>
      </c>
    </row>
    <row r="4070" spans="2:20" ht="15" customHeight="1">
      <c r="B4070" s="1465" t="s">
        <v>4745</v>
      </c>
      <c r="C4070" s="859" t="s">
        <v>3510</v>
      </c>
      <c r="D4070" s="1466">
        <v>46271.622071759259</v>
      </c>
      <c r="E4070" s="1467">
        <v>95.21</v>
      </c>
      <c r="F4070" s="583">
        <v>4.4999999999999998E-2</v>
      </c>
      <c r="G4070" s="1468">
        <f t="shared" si="168"/>
        <v>99.696335078534034</v>
      </c>
      <c r="H4070" s="1434" t="s">
        <v>4683</v>
      </c>
      <c r="I4070" s="1409" t="s">
        <v>626</v>
      </c>
      <c r="J4070" s="1468">
        <f>(6*239.88+6.8*299.98)/base[[#This Row],[Stake/Responsabilidade]]</f>
        <v>6.4445300633497578</v>
      </c>
      <c r="K4070" s="1468">
        <f>239.88+299.98</f>
        <v>539.86</v>
      </c>
      <c r="L4070" s="1466">
        <f>INT(base[[#This Row],[Data de liquidação]])</f>
        <v>46271</v>
      </c>
      <c r="M4070" s="1468">
        <f>base[[#This Row],[L/P Bruto]]-base[[#This Row],[L/P Líquido]]</f>
        <v>4.4863350785340401</v>
      </c>
      <c r="N4070" s="1468">
        <f>base[[#This Row],[L/P Líquido]]/base[[#This Row],[Stake/Responsabilidade]]</f>
        <v>0.1763605379172378</v>
      </c>
      <c r="O4070" s="1469">
        <f>IF(base[[#This Row],[L/P Líquido]]&gt;0,1,0)</f>
        <v>1</v>
      </c>
      <c r="P4070" s="1469"/>
      <c r="Q4070" s="1469" t="str">
        <f>LEFT(base[[#This Row],[Evento / Mercado]],FIND("vs",base[[#This Row],[Evento / Mercado]])-2)</f>
        <v>Brøndby IF</v>
      </c>
      <c r="R407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Randers FC</v>
      </c>
      <c r="S4070" s="1469" t="str">
        <f>LEFT(base[[#This Row],[Evento / Mercado]],FIND("/",base[[#This Row],[Evento / Mercado]])-2)</f>
        <v>Brøndby IF vs Randers FC</v>
      </c>
      <c r="T4070" s="1470">
        <f>base[[#This Row],[Data de liquidação]]</f>
        <v>46271.622071759259</v>
      </c>
    </row>
    <row r="4071" spans="2:20" ht="15" customHeight="1">
      <c r="B4071" s="1465" t="s">
        <v>4744</v>
      </c>
      <c r="C4071" s="859" t="s">
        <v>3510</v>
      </c>
      <c r="D4071" s="1466">
        <v>46271.70890046296</v>
      </c>
      <c r="E4071" s="1467">
        <v>25.47</v>
      </c>
      <c r="F4071" s="583">
        <v>4.4999999999999998E-2</v>
      </c>
      <c r="G4071" s="1468">
        <f t="shared" si="168"/>
        <v>26.670157068062828</v>
      </c>
      <c r="H4071" s="1434" t="s">
        <v>4683</v>
      </c>
      <c r="I4071" s="1409" t="s">
        <v>626</v>
      </c>
      <c r="J4071" s="1468">
        <v>16</v>
      </c>
      <c r="K4071" s="1468">
        <v>400.05</v>
      </c>
      <c r="L4071" s="1466">
        <f>INT(base[[#This Row],[Data de liquidação]])</f>
        <v>46271</v>
      </c>
      <c r="M4071" s="1468">
        <f>base[[#This Row],[L/P Bruto]]-base[[#This Row],[L/P Líquido]]</f>
        <v>1.2001570680628291</v>
      </c>
      <c r="N4071" s="1468">
        <f>base[[#This Row],[L/P Líquido]]/base[[#This Row],[Stake/Responsabilidade]]</f>
        <v>6.3667041619797526E-2</v>
      </c>
      <c r="O4071" s="1469">
        <f>IF(base[[#This Row],[L/P Líquido]]&gt;0,1,0)</f>
        <v>1</v>
      </c>
      <c r="P4071" s="1469"/>
      <c r="Q4071" s="1469" t="str">
        <f>LEFT(base[[#This Row],[Evento / Mercado]],FIND("vs",base[[#This Row],[Evento / Mercado]])-2)</f>
        <v>Györi ETO FC</v>
      </c>
      <c r="R407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Kispest Honved</v>
      </c>
      <c r="S4071" s="1469" t="str">
        <f>LEFT(base[[#This Row],[Evento / Mercado]],FIND("/",base[[#This Row],[Evento / Mercado]])-2)</f>
        <v>Györi ETO FC vs Kispest Honved</v>
      </c>
      <c r="T4071" s="1470">
        <f>base[[#This Row],[Data de liquidação]]</f>
        <v>46271.70890046296</v>
      </c>
    </row>
    <row r="4072" spans="2:20" ht="15" customHeight="1">
      <c r="B4072" s="1465" t="s">
        <v>4743</v>
      </c>
      <c r="C4072" s="859" t="s">
        <v>3510</v>
      </c>
      <c r="D4072" s="1466">
        <v>46271.717372685183</v>
      </c>
      <c r="E4072" s="1467">
        <v>5.62</v>
      </c>
      <c r="F4072" s="583">
        <v>4.4999999999999998E-2</v>
      </c>
      <c r="G4072" s="1468">
        <f t="shared" si="168"/>
        <v>5.8848167539267022</v>
      </c>
      <c r="H4072" s="1434" t="s">
        <v>4683</v>
      </c>
      <c r="I4072" s="1409" t="s">
        <v>626</v>
      </c>
      <c r="J4072" s="1468">
        <v>18</v>
      </c>
      <c r="K4072" s="1468">
        <v>99.96</v>
      </c>
      <c r="L4072" s="1466">
        <f>INT(base[[#This Row],[Data de liquidação]])</f>
        <v>46271</v>
      </c>
      <c r="M4072" s="1468">
        <f>base[[#This Row],[L/P Bruto]]-base[[#This Row],[L/P Líquido]]</f>
        <v>0.26481675392670212</v>
      </c>
      <c r="N4072" s="1468">
        <f>base[[#This Row],[L/P Líquido]]/base[[#This Row],[Stake/Responsabilidade]]</f>
        <v>5.6222488995598244E-2</v>
      </c>
      <c r="O4072" s="1469">
        <f>IF(base[[#This Row],[L/P Líquido]]&gt;0,1,0)</f>
        <v>1</v>
      </c>
      <c r="P4072" s="1469"/>
      <c r="Q4072" s="1469" t="str">
        <f>LEFT(base[[#This Row],[Evento / Mercado]],FIND("vs",base[[#This Row],[Evento / Mercado]])-2)</f>
        <v>Jagiellonia Bialystok</v>
      </c>
      <c r="R407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Slask Wroclaw</v>
      </c>
      <c r="S4072" s="1469" t="str">
        <f>LEFT(base[[#This Row],[Evento / Mercado]],FIND("/",base[[#This Row],[Evento / Mercado]])-2)</f>
        <v>Jagiellonia Bialystok vs Slask Wroclaw</v>
      </c>
      <c r="T4072" s="1470">
        <f>base[[#This Row],[Data de liquidação]]</f>
        <v>46271.717372685183</v>
      </c>
    </row>
    <row r="4073" spans="2:20" ht="15" customHeight="1">
      <c r="B4073" s="1465" t="s">
        <v>4742</v>
      </c>
      <c r="C4073" s="859" t="s">
        <v>3510</v>
      </c>
      <c r="D4073" s="1466">
        <v>46271.750358796293</v>
      </c>
      <c r="E4073" s="1467">
        <v>32.85</v>
      </c>
      <c r="F4073" s="583">
        <v>4.4999999999999998E-2</v>
      </c>
      <c r="G4073" s="1468">
        <f t="shared" si="168"/>
        <v>34.397905759162306</v>
      </c>
      <c r="H4073" s="1434" t="s">
        <v>4683</v>
      </c>
      <c r="I4073" s="1461" t="s">
        <v>693</v>
      </c>
      <c r="J4073" s="1468">
        <v>13.5</v>
      </c>
      <c r="K4073" s="1468">
        <v>430</v>
      </c>
      <c r="L4073" s="1466">
        <f>INT(base[[#This Row],[Data de liquidação]])</f>
        <v>46271</v>
      </c>
      <c r="M4073" s="1468">
        <f>base[[#This Row],[L/P Bruto]]-base[[#This Row],[L/P Líquido]]</f>
        <v>1.5479057591623047</v>
      </c>
      <c r="N4073" s="1468">
        <f>base[[#This Row],[L/P Líquido]]/base[[#This Row],[Stake/Responsabilidade]]</f>
        <v>7.6395348837209304E-2</v>
      </c>
      <c r="O4073" s="1469">
        <f>IF(base[[#This Row],[L/P Líquido]]&gt;0,1,0)</f>
        <v>1</v>
      </c>
      <c r="P4073" s="1469"/>
      <c r="Q4073" s="1469" t="str">
        <f>LEFT(base[[#This Row],[Evento / Mercado]],FIND("vs",base[[#This Row],[Evento / Mercado]])-2)</f>
        <v>Clube do Remo</v>
      </c>
      <c r="R407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4073" s="1469" t="str">
        <f>LEFT(base[[#This Row],[Evento / Mercado]],FIND("/",base[[#This Row],[Evento / Mercado]])-2)</f>
        <v>Clube do Remo vs Flamengo</v>
      </c>
      <c r="T4073" s="1470">
        <f>base[[#This Row],[Data de liquidação]]</f>
        <v>46271.750358796293</v>
      </c>
    </row>
    <row r="4074" spans="2:20" ht="15" customHeight="1">
      <c r="B4074" s="1465" t="s">
        <v>4741</v>
      </c>
      <c r="C4074" s="859" t="s">
        <v>3510</v>
      </c>
      <c r="D4074" s="1466">
        <v>46271.767210648148</v>
      </c>
      <c r="E4074" s="1467">
        <v>-373.32</v>
      </c>
      <c r="F4074" s="583">
        <v>4.4999999999999998E-2</v>
      </c>
      <c r="G4074" s="1468">
        <f t="shared" si="168"/>
        <v>-373.32</v>
      </c>
      <c r="H4074" s="1434" t="s">
        <v>4683</v>
      </c>
      <c r="I4074" s="1409" t="s">
        <v>626</v>
      </c>
      <c r="J4074" s="1468">
        <v>3.8</v>
      </c>
      <c r="K4074" s="1468">
        <v>373.32</v>
      </c>
      <c r="L4074" s="1466">
        <f>INT(base[[#This Row],[Data de liquidação]])</f>
        <v>46271</v>
      </c>
      <c r="M4074" s="1468">
        <f>base[[#This Row],[L/P Bruto]]-base[[#This Row],[L/P Líquido]]</f>
        <v>0</v>
      </c>
      <c r="N4074" s="1468">
        <f>base[[#This Row],[L/P Líquido]]/base[[#This Row],[Stake/Responsabilidade]]</f>
        <v>-1</v>
      </c>
      <c r="O4074" s="1469">
        <f>IF(base[[#This Row],[L/P Líquido]]&gt;0,1,0)</f>
        <v>0</v>
      </c>
      <c r="P4074" s="1469"/>
      <c r="Q4074" s="1469" t="str">
        <f>LEFT(base[[#This Row],[Evento / Mercado]],FIND("vs",base[[#This Row],[Evento / Mercado]])-2)</f>
        <v>Gil Vicente</v>
      </c>
      <c r="R407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Académico de Viseu</v>
      </c>
      <c r="S4074" s="1469" t="str">
        <f>LEFT(base[[#This Row],[Evento / Mercado]],FIND("/",base[[#This Row],[Evento / Mercado]])-2)</f>
        <v>Gil Vicente vs Académico de Viseu</v>
      </c>
      <c r="T4074" s="1470">
        <f>base[[#This Row],[Data de liquidação]]</f>
        <v>46271.767210648148</v>
      </c>
    </row>
    <row r="4075" spans="2:20" ht="15" customHeight="1">
      <c r="B4075" s="1465" t="s">
        <v>4740</v>
      </c>
      <c r="C4075" s="859" t="s">
        <v>3510</v>
      </c>
      <c r="D4075" s="1466">
        <v>46271.853333333333</v>
      </c>
      <c r="E4075" s="1467">
        <v>7.96</v>
      </c>
      <c r="F4075" s="583">
        <v>4.4999999999999998E-2</v>
      </c>
      <c r="G4075" s="1468">
        <f t="shared" si="168"/>
        <v>8.335078534031414</v>
      </c>
      <c r="H4075" s="1365" t="s">
        <v>1644</v>
      </c>
      <c r="I4075" s="1433" t="s">
        <v>4682</v>
      </c>
      <c r="J4075" s="1468">
        <v>14</v>
      </c>
      <c r="K4075" s="1468">
        <v>108.29</v>
      </c>
      <c r="L4075" s="1466">
        <f>INT(base[[#This Row],[Data de liquidação]])</f>
        <v>46271</v>
      </c>
      <c r="M4075" s="1468">
        <f>base[[#This Row],[L/P Bruto]]-base[[#This Row],[L/P Líquido]]</f>
        <v>0.375078534031414</v>
      </c>
      <c r="N4075" s="1468">
        <f>base[[#This Row],[L/P Líquido]]/base[[#This Row],[Stake/Responsabilidade]]</f>
        <v>7.350632560716594E-2</v>
      </c>
      <c r="O4075" s="1469">
        <f>IF(base[[#This Row],[L/P Líquido]]&gt;0,1,0)</f>
        <v>1</v>
      </c>
      <c r="P4075" s="1469"/>
      <c r="Q4075" s="1469" t="str">
        <f>LEFT(base[[#This Row],[Evento / Mercado]],FIND("vs",base[[#This Row],[Evento / Mercado]])-2)</f>
        <v>Atlética Ponte Preta</v>
      </c>
      <c r="R407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4075" s="1469" t="str">
        <f>LEFT(base[[#This Row],[Evento / Mercado]],FIND("/",base[[#This Row],[Evento / Mercado]])-2)</f>
        <v>Atlética Ponte Preta vs São Bernardo FC</v>
      </c>
      <c r="T4075" s="1470">
        <f>base[[#This Row],[Data de liquidação]]</f>
        <v>46271.853333333333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1"/>
  <sheetViews>
    <sheetView showGridLines="0" zoomScale="80" zoomScaleNormal="80" workbookViewId="0">
      <selection activeCell="E3" sqref="E3:F21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4758</v>
      </c>
      <c r="D3" s="918">
        <v>46271.254861111112</v>
      </c>
      <c r="E3" s="918">
        <v>46271.331099537034</v>
      </c>
      <c r="F3" s="919">
        <v>13.65</v>
      </c>
      <c r="G3" s="858" t="str">
        <f t="shared" ref="G3:G21" si="0">SUBSTITUTE(E3,",","")</f>
        <v>46271331099537</v>
      </c>
    </row>
    <row r="4" spans="2:7" ht="13.8" thickBot="1">
      <c r="B4" s="916" t="s">
        <v>204</v>
      </c>
      <c r="C4" s="917" t="s">
        <v>4757</v>
      </c>
      <c r="D4" s="918">
        <v>46271.354166666664</v>
      </c>
      <c r="E4" s="918">
        <v>46271.432638888888</v>
      </c>
      <c r="F4" s="919">
        <v>24.15</v>
      </c>
      <c r="G4" s="858" t="str">
        <f t="shared" si="0"/>
        <v>462714326388889</v>
      </c>
    </row>
    <row r="5" spans="2:7" ht="13.8" thickBot="1">
      <c r="B5" s="916" t="s">
        <v>204</v>
      </c>
      <c r="C5" s="917" t="s">
        <v>4756</v>
      </c>
      <c r="D5" s="918">
        <v>46271.417361111111</v>
      </c>
      <c r="E5" s="918">
        <v>46271.484803240739</v>
      </c>
      <c r="F5" s="919">
        <v>4.42</v>
      </c>
      <c r="G5" s="858" t="str">
        <f t="shared" si="0"/>
        <v>462714848032407</v>
      </c>
    </row>
    <row r="6" spans="2:7" ht="13.8" thickBot="1">
      <c r="B6" s="916" t="s">
        <v>204</v>
      </c>
      <c r="C6" s="917" t="s">
        <v>4755</v>
      </c>
      <c r="D6" s="918">
        <v>46271.458333333336</v>
      </c>
      <c r="E6" s="918">
        <v>46271.537361111114</v>
      </c>
      <c r="F6" s="1449">
        <v>-120</v>
      </c>
      <c r="G6" s="858" t="str">
        <f t="shared" si="0"/>
        <v>462715373611111</v>
      </c>
    </row>
    <row r="7" spans="2:7" ht="13.8" thickBot="1">
      <c r="B7" s="916" t="s">
        <v>204</v>
      </c>
      <c r="C7" s="917" t="s">
        <v>4754</v>
      </c>
      <c r="D7" s="918">
        <v>46271.459027777775</v>
      </c>
      <c r="E7" s="918">
        <v>46271.538703703707</v>
      </c>
      <c r="F7" s="919">
        <v>51.16</v>
      </c>
      <c r="G7" s="858" t="str">
        <f t="shared" si="0"/>
        <v>462715387037037</v>
      </c>
    </row>
    <row r="8" spans="2:7" ht="13.8" thickBot="1">
      <c r="B8" s="916" t="s">
        <v>204</v>
      </c>
      <c r="C8" s="917" t="s">
        <v>4753</v>
      </c>
      <c r="D8" s="918">
        <v>46271.458333333336</v>
      </c>
      <c r="E8" s="918">
        <v>46271.545104166667</v>
      </c>
      <c r="F8" s="919">
        <v>1.74</v>
      </c>
      <c r="G8" s="858" t="str">
        <f t="shared" si="0"/>
        <v>462715451041667</v>
      </c>
    </row>
    <row r="9" spans="2:7" ht="13.8" thickBot="1">
      <c r="B9" s="916" t="s">
        <v>204</v>
      </c>
      <c r="C9" s="917" t="s">
        <v>4752</v>
      </c>
      <c r="D9" s="918">
        <v>46271.458333333336</v>
      </c>
      <c r="E9" s="918">
        <v>46271.545844907407</v>
      </c>
      <c r="F9" s="919">
        <v>67.150000000000006</v>
      </c>
      <c r="G9" s="858" t="str">
        <f t="shared" si="0"/>
        <v>462715458449074</v>
      </c>
    </row>
    <row r="10" spans="2:7" ht="13.8" thickBot="1">
      <c r="B10" s="916" t="s">
        <v>204</v>
      </c>
      <c r="C10" s="917" t="s">
        <v>4751</v>
      </c>
      <c r="D10" s="918">
        <v>46271.479166666664</v>
      </c>
      <c r="E10" s="918">
        <v>46271.557326388887</v>
      </c>
      <c r="F10" s="919">
        <v>11.11</v>
      </c>
      <c r="G10" s="858" t="str">
        <f t="shared" si="0"/>
        <v>462715573263889</v>
      </c>
    </row>
    <row r="11" spans="2:7" ht="13.8" thickBot="1">
      <c r="B11" s="916" t="s">
        <v>204</v>
      </c>
      <c r="C11" s="917" t="s">
        <v>4750</v>
      </c>
      <c r="D11" s="918">
        <v>46271.5</v>
      </c>
      <c r="E11" s="918">
        <v>46271.576979166668</v>
      </c>
      <c r="F11" s="919">
        <v>36.9</v>
      </c>
      <c r="G11" s="858" t="str">
        <f t="shared" si="0"/>
        <v>462715769791667</v>
      </c>
    </row>
    <row r="12" spans="2:7" ht="13.8" thickBot="1">
      <c r="B12" s="916" t="s">
        <v>204</v>
      </c>
      <c r="C12" s="917" t="s">
        <v>4749</v>
      </c>
      <c r="D12" s="918">
        <v>46271.5</v>
      </c>
      <c r="E12" s="918">
        <v>46271.578483796293</v>
      </c>
      <c r="F12" s="919">
        <v>31.83</v>
      </c>
      <c r="G12" s="858" t="str">
        <f t="shared" si="0"/>
        <v>462715784837963</v>
      </c>
    </row>
    <row r="13" spans="2:7" ht="13.8" thickBot="1">
      <c r="B13" s="916" t="s">
        <v>204</v>
      </c>
      <c r="C13" s="917" t="s">
        <v>4748</v>
      </c>
      <c r="D13" s="918">
        <v>46271.520833333336</v>
      </c>
      <c r="E13" s="918">
        <v>46271.599629629629</v>
      </c>
      <c r="F13" s="919">
        <v>38.840000000000003</v>
      </c>
      <c r="G13" s="858" t="str">
        <f t="shared" si="0"/>
        <v>462715996296296</v>
      </c>
    </row>
    <row r="14" spans="2:7" ht="13.8" thickBot="1">
      <c r="B14" s="916" t="s">
        <v>204</v>
      </c>
      <c r="C14" s="917" t="s">
        <v>4747</v>
      </c>
      <c r="D14" s="918">
        <v>46271.520833333336</v>
      </c>
      <c r="E14" s="918">
        <v>46271.602210648147</v>
      </c>
      <c r="F14" s="919">
        <v>28.96</v>
      </c>
      <c r="G14" s="858" t="str">
        <f t="shared" si="0"/>
        <v>462716022106481</v>
      </c>
    </row>
    <row r="15" spans="2:7" ht="13.8" thickBot="1">
      <c r="B15" s="916" t="s">
        <v>204</v>
      </c>
      <c r="C15" s="917" t="s">
        <v>4746</v>
      </c>
      <c r="D15" s="918">
        <v>46271.5625</v>
      </c>
      <c r="E15" s="918">
        <v>46271.610925925925</v>
      </c>
      <c r="F15" s="919">
        <v>126.1</v>
      </c>
      <c r="G15" s="858" t="str">
        <f t="shared" si="0"/>
        <v>462716109259259</v>
      </c>
    </row>
    <row r="16" spans="2:7" ht="13.8" thickBot="1">
      <c r="B16" s="916" t="s">
        <v>204</v>
      </c>
      <c r="C16" s="917" t="s">
        <v>4745</v>
      </c>
      <c r="D16" s="918">
        <v>46271.543749999997</v>
      </c>
      <c r="E16" s="918">
        <v>46271.622071759259</v>
      </c>
      <c r="F16" s="919">
        <v>95.21</v>
      </c>
      <c r="G16" s="858" t="str">
        <f t="shared" si="0"/>
        <v>462716220717593</v>
      </c>
    </row>
    <row r="17" spans="2:7" ht="13.8" thickBot="1">
      <c r="B17" s="916" t="s">
        <v>204</v>
      </c>
      <c r="C17" s="917" t="s">
        <v>4744</v>
      </c>
      <c r="D17" s="918">
        <v>46271.626388888886</v>
      </c>
      <c r="E17" s="918">
        <v>46271.70890046296</v>
      </c>
      <c r="F17" s="919">
        <v>25.47</v>
      </c>
      <c r="G17" s="858" t="str">
        <f t="shared" si="0"/>
        <v>46271708900463</v>
      </c>
    </row>
    <row r="18" spans="2:7" ht="13.8" thickBot="1">
      <c r="B18" s="916" t="s">
        <v>204</v>
      </c>
      <c r="C18" s="917" t="s">
        <v>4743</v>
      </c>
      <c r="D18" s="918">
        <v>46271.636805555558</v>
      </c>
      <c r="E18" s="918">
        <v>46271.717372685183</v>
      </c>
      <c r="F18" s="919">
        <v>5.62</v>
      </c>
      <c r="G18" s="858" t="str">
        <f t="shared" si="0"/>
        <v>462717173726852</v>
      </c>
    </row>
    <row r="19" spans="2:7" ht="13.8" thickBot="1">
      <c r="B19" s="916" t="s">
        <v>204</v>
      </c>
      <c r="C19" s="917" t="s">
        <v>4742</v>
      </c>
      <c r="D19" s="918">
        <v>46271.670138888891</v>
      </c>
      <c r="E19" s="918">
        <v>46271.750358796293</v>
      </c>
      <c r="F19" s="919">
        <v>32.85</v>
      </c>
      <c r="G19" s="858" t="str">
        <f t="shared" si="0"/>
        <v>462717503587963</v>
      </c>
    </row>
    <row r="20" spans="2:7" ht="13.8" thickBot="1">
      <c r="B20" s="916" t="s">
        <v>204</v>
      </c>
      <c r="C20" s="917" t="s">
        <v>4741</v>
      </c>
      <c r="D20" s="918">
        <v>46271.6875</v>
      </c>
      <c r="E20" s="918">
        <v>46271.767210648148</v>
      </c>
      <c r="F20" s="1449">
        <v>-373.32</v>
      </c>
      <c r="G20" s="858" t="str">
        <f t="shared" si="0"/>
        <v>462717672106481</v>
      </c>
    </row>
    <row r="21" spans="2:7" ht="13.8" thickBot="1">
      <c r="B21" s="916" t="s">
        <v>204</v>
      </c>
      <c r="C21" s="917" t="s">
        <v>4740</v>
      </c>
      <c r="D21" s="918">
        <v>46271.772222222222</v>
      </c>
      <c r="E21" s="918">
        <v>46271.853333333333</v>
      </c>
      <c r="F21" s="919">
        <v>7.96</v>
      </c>
      <c r="G21" s="858" t="str">
        <f t="shared" si="0"/>
        <v>462718533333333</v>
      </c>
    </row>
  </sheetData>
  <autoFilter ref="B2:G2"/>
  <sortState ref="B3:G21">
    <sortCondition ref="E3:E2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3373</v>
      </c>
      <c r="C2" s="998">
        <v>6200</v>
      </c>
      <c r="D2" s="996"/>
      <c r="F2" s="998"/>
    </row>
    <row r="3" spans="2:21" ht="15" customHeight="1">
      <c r="B3" s="996" t="s">
        <v>3876</v>
      </c>
      <c r="C3" s="997">
        <v>0.2</v>
      </c>
      <c r="D3" s="996"/>
      <c r="F3" s="998"/>
    </row>
    <row r="4" spans="2:21" ht="15" customHeight="1">
      <c r="B4" s="996" t="s">
        <v>3422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4072</v>
      </c>
      <c r="D6" s="22" t="s">
        <v>3880</v>
      </c>
      <c r="E6" s="22" t="s">
        <v>156</v>
      </c>
      <c r="F6" s="22" t="s">
        <v>3872</v>
      </c>
      <c r="G6" s="22" t="s">
        <v>3866</v>
      </c>
      <c r="H6" s="22" t="s">
        <v>3867</v>
      </c>
      <c r="I6" s="22" t="s">
        <v>3868</v>
      </c>
      <c r="J6" s="22" t="s">
        <v>3381</v>
      </c>
      <c r="K6" s="22" t="s">
        <v>3883</v>
      </c>
      <c r="L6" s="22" t="s">
        <v>3386</v>
      </c>
      <c r="M6" s="22" t="s">
        <v>3875</v>
      </c>
      <c r="N6" s="22" t="s">
        <v>3389</v>
      </c>
      <c r="O6" s="1031" t="s">
        <v>3877</v>
      </c>
      <c r="P6" s="22" t="s">
        <v>3869</v>
      </c>
      <c r="Q6" s="22" t="s">
        <v>3879</v>
      </c>
      <c r="R6" s="22" t="s">
        <v>3874</v>
      </c>
      <c r="S6" s="22" t="s">
        <v>3868</v>
      </c>
      <c r="T6" s="22" t="s">
        <v>3878</v>
      </c>
      <c r="U6" s="1032" t="s">
        <v>3409</v>
      </c>
    </row>
    <row r="7" spans="2:21" ht="15" customHeight="1">
      <c r="B7" s="996" t="s">
        <v>3288</v>
      </c>
      <c r="C7" s="1055" t="s">
        <v>4073</v>
      </c>
      <c r="D7" s="1003" t="s">
        <v>3229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3291</v>
      </c>
      <c r="C8" s="996"/>
      <c r="D8" s="1003" t="s">
        <v>3882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3870</v>
      </c>
      <c r="C9" s="1055"/>
      <c r="D9" s="1003" t="s">
        <v>3817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4073</v>
      </c>
      <c r="D10" s="1003" t="s">
        <v>3508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3873</v>
      </c>
      <c r="C11" s="1055" t="s">
        <v>4073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3167</v>
      </c>
      <c r="C12" s="1003"/>
      <c r="D12" s="1003" t="s">
        <v>3881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3871</v>
      </c>
      <c r="C13" s="1055"/>
      <c r="D13" s="1003" t="s">
        <v>3817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3865</v>
      </c>
      <c r="C14" s="996"/>
      <c r="D14" s="1003" t="s">
        <v>3229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3864</v>
      </c>
      <c r="C15" s="1055" t="s">
        <v>4073</v>
      </c>
      <c r="D15" s="1003" t="s">
        <v>3817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4073</v>
      </c>
      <c r="D16" s="1003" t="s">
        <v>3881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3612</v>
      </c>
      <c r="C17" s="996"/>
      <c r="D17" s="1003" t="s">
        <v>3229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3863</v>
      </c>
      <c r="C18" s="1055" t="s">
        <v>4073</v>
      </c>
      <c r="D18" s="1003" t="s">
        <v>3229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3766</v>
      </c>
      <c r="C19" s="1055"/>
      <c r="D19" s="1003" t="s">
        <v>3817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4100</v>
      </c>
      <c r="C20" s="1071"/>
      <c r="D20" s="1003" t="s">
        <v>3817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3292</v>
      </c>
      <c r="C21" s="1055" t="s">
        <v>4073</v>
      </c>
      <c r="D21" s="1003" t="s">
        <v>3881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3194</v>
      </c>
      <c r="E2" s="4" t="s">
        <v>3616</v>
      </c>
      <c r="F2" s="4" t="s">
        <v>3615</v>
      </c>
      <c r="G2" s="4" t="s">
        <v>3617</v>
      </c>
      <c r="H2" s="4" t="s">
        <v>3614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  <c r="P2" s="4" t="s">
        <v>3618</v>
      </c>
    </row>
    <row r="3" spans="2:16" ht="15" customHeight="1">
      <c r="B3" s="549">
        <v>46204</v>
      </c>
      <c r="C3" s="548" t="s">
        <v>3608</v>
      </c>
      <c r="D3" s="548" t="s">
        <v>3289</v>
      </c>
      <c r="E3" s="550">
        <v>27</v>
      </c>
      <c r="F3" s="550">
        <v>32</v>
      </c>
      <c r="G3" s="888">
        <v>71</v>
      </c>
      <c r="H3" s="887" t="s">
        <v>3345</v>
      </c>
      <c r="I3" s="885" t="s">
        <v>3191</v>
      </c>
      <c r="J3" s="843" t="s">
        <v>3348</v>
      </c>
      <c r="K3" s="548" t="s">
        <v>3187</v>
      </c>
      <c r="L3" s="843" t="s">
        <v>3198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3619</v>
      </c>
    </row>
    <row r="4" spans="2:16" ht="15" customHeight="1">
      <c r="B4" s="549">
        <v>46214</v>
      </c>
      <c r="C4" s="548" t="s">
        <v>3690</v>
      </c>
      <c r="D4" s="548" t="s">
        <v>3289</v>
      </c>
      <c r="E4" s="550">
        <v>60</v>
      </c>
      <c r="F4" s="550">
        <v>1000</v>
      </c>
      <c r="G4" s="888" t="s">
        <v>3718</v>
      </c>
      <c r="H4" s="887" t="s">
        <v>3212</v>
      </c>
      <c r="I4" s="885" t="s">
        <v>3191</v>
      </c>
      <c r="J4" s="843" t="s">
        <v>3348</v>
      </c>
      <c r="K4" s="548" t="s">
        <v>3187</v>
      </c>
      <c r="L4" s="843" t="s">
        <v>3198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3721</v>
      </c>
      <c r="D5" s="548" t="s">
        <v>3742</v>
      </c>
      <c r="E5" s="550">
        <v>7.7726672431412629</v>
      </c>
      <c r="F5" s="550">
        <v>1000</v>
      </c>
      <c r="G5" s="888" t="s">
        <v>3718</v>
      </c>
      <c r="H5" s="953" t="s">
        <v>3743</v>
      </c>
      <c r="I5" s="951" t="s">
        <v>3286</v>
      </c>
      <c r="J5" s="951" t="s">
        <v>390</v>
      </c>
      <c r="K5" s="548" t="s">
        <v>3187</v>
      </c>
      <c r="L5" s="843" t="s">
        <v>3198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3746</v>
      </c>
      <c r="D6" s="548" t="s">
        <v>3742</v>
      </c>
      <c r="E6" s="550">
        <v>16.458385267982791</v>
      </c>
      <c r="F6" s="550">
        <v>1000</v>
      </c>
      <c r="G6" s="888" t="s">
        <v>3718</v>
      </c>
      <c r="H6" s="953" t="s">
        <v>3633</v>
      </c>
      <c r="I6" s="951" t="s">
        <v>3191</v>
      </c>
      <c r="J6" s="951" t="s">
        <v>390</v>
      </c>
      <c r="K6" s="548" t="s">
        <v>3187</v>
      </c>
      <c r="L6" s="843" t="s">
        <v>3198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3826</v>
      </c>
      <c r="D7" s="548" t="s">
        <v>3717</v>
      </c>
      <c r="E7" s="550">
        <v>8.4</v>
      </c>
      <c r="F7" s="550">
        <v>4.7</v>
      </c>
      <c r="G7" s="888">
        <v>35</v>
      </c>
      <c r="H7" s="953" t="s">
        <v>3345</v>
      </c>
      <c r="I7" s="951" t="s">
        <v>3191</v>
      </c>
      <c r="J7" s="951" t="s">
        <v>390</v>
      </c>
      <c r="K7" s="548" t="s">
        <v>3187</v>
      </c>
      <c r="L7" s="843" t="s">
        <v>3198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3832</v>
      </c>
      <c r="D8" s="548" t="s">
        <v>3744</v>
      </c>
      <c r="E8" s="550">
        <v>30</v>
      </c>
      <c r="F8" s="550">
        <v>30</v>
      </c>
      <c r="G8" s="888" t="s">
        <v>3718</v>
      </c>
      <c r="H8" s="953" t="s">
        <v>3633</v>
      </c>
      <c r="I8" s="951" t="s">
        <v>3191</v>
      </c>
      <c r="J8" s="951" t="s">
        <v>390</v>
      </c>
      <c r="K8" s="548" t="s">
        <v>3187</v>
      </c>
      <c r="L8" s="843" t="s">
        <v>3198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3194</v>
      </c>
      <c r="E2" s="548" t="s">
        <v>3186</v>
      </c>
      <c r="F2" s="548" t="s">
        <v>12</v>
      </c>
      <c r="G2" s="585" t="s">
        <v>3192</v>
      </c>
      <c r="H2" s="548" t="s">
        <v>3189</v>
      </c>
      <c r="I2" s="548" t="s">
        <v>349</v>
      </c>
      <c r="J2" s="550" t="s">
        <v>263</v>
      </c>
      <c r="K2" s="550" t="s">
        <v>9</v>
      </c>
      <c r="L2" s="551" t="s">
        <v>3193</v>
      </c>
      <c r="M2" s="592" t="s">
        <v>3372</v>
      </c>
    </row>
    <row r="3" spans="2:13" ht="15" customHeight="1">
      <c r="B3" s="549">
        <v>46179.539074074077</v>
      </c>
      <c r="C3" s="548" t="s">
        <v>3157</v>
      </c>
      <c r="D3" s="577" t="s">
        <v>3195</v>
      </c>
      <c r="E3" s="548">
        <v>7</v>
      </c>
      <c r="F3" s="548" t="s">
        <v>3191</v>
      </c>
      <c r="G3" s="585" t="s">
        <v>390</v>
      </c>
      <c r="H3" s="548" t="s">
        <v>3188</v>
      </c>
      <c r="I3" s="548" t="s">
        <v>3190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3150</v>
      </c>
      <c r="D4" s="577" t="s">
        <v>3195</v>
      </c>
      <c r="E4" s="548">
        <v>8</v>
      </c>
      <c r="F4" s="548" t="s">
        <v>3191</v>
      </c>
      <c r="G4" s="585" t="s">
        <v>390</v>
      </c>
      <c r="H4" s="548" t="s">
        <v>3188</v>
      </c>
      <c r="I4" s="548" t="s">
        <v>3190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3371</v>
      </c>
    </row>
    <row r="5" spans="2:13" ht="15" customHeight="1">
      <c r="B5" s="549">
        <v>46181.919953703706</v>
      </c>
      <c r="C5" s="548" t="s">
        <v>3181</v>
      </c>
      <c r="D5" s="577" t="s">
        <v>3195</v>
      </c>
      <c r="E5" s="548">
        <v>8</v>
      </c>
      <c r="F5" s="548" t="s">
        <v>3191</v>
      </c>
      <c r="G5" s="585" t="s">
        <v>390</v>
      </c>
      <c r="H5" s="548" t="s">
        <v>3188</v>
      </c>
      <c r="I5" s="548" t="s">
        <v>3190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3203</v>
      </c>
      <c r="D6" s="577" t="s">
        <v>3199</v>
      </c>
      <c r="E6" s="548">
        <v>8</v>
      </c>
      <c r="F6" s="548" t="s">
        <v>3200</v>
      </c>
      <c r="G6" s="585" t="s">
        <v>3200</v>
      </c>
      <c r="H6" s="548" t="s">
        <v>3187</v>
      </c>
      <c r="I6" s="548" t="s">
        <v>3198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3202</v>
      </c>
      <c r="D7" s="577" t="s">
        <v>3195</v>
      </c>
      <c r="E7" s="548">
        <v>7</v>
      </c>
      <c r="F7" s="548" t="s">
        <v>3191</v>
      </c>
      <c r="G7" s="585" t="s">
        <v>390</v>
      </c>
      <c r="H7" s="548" t="s">
        <v>3188</v>
      </c>
      <c r="I7" s="548" t="s">
        <v>3190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3230</v>
      </c>
      <c r="D8" s="577" t="s">
        <v>3289</v>
      </c>
      <c r="E8" s="548">
        <v>8</v>
      </c>
      <c r="F8" s="548" t="s">
        <v>3200</v>
      </c>
      <c r="G8" s="585" t="s">
        <v>3348</v>
      </c>
      <c r="H8" s="548" t="s">
        <v>3188</v>
      </c>
      <c r="I8" s="548" t="s">
        <v>3190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3278</v>
      </c>
      <c r="D9" s="577" t="s">
        <v>3285</v>
      </c>
      <c r="E9" s="548">
        <v>8</v>
      </c>
      <c r="F9" s="548" t="s">
        <v>3286</v>
      </c>
      <c r="G9" s="585" t="s">
        <v>390</v>
      </c>
      <c r="H9" s="548" t="s">
        <v>3187</v>
      </c>
      <c r="I9" s="548" t="s">
        <v>3190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3269</v>
      </c>
      <c r="D10" s="577" t="s">
        <v>3287</v>
      </c>
      <c r="E10" s="548">
        <v>8</v>
      </c>
      <c r="F10" s="548" t="s">
        <v>3191</v>
      </c>
      <c r="G10" s="585" t="s">
        <v>390</v>
      </c>
      <c r="H10" s="548" t="s">
        <v>3188</v>
      </c>
      <c r="I10" s="548" t="s">
        <v>3198</v>
      </c>
      <c r="J10" s="550">
        <v>100</v>
      </c>
      <c r="K10" s="550">
        <v>0.27</v>
      </c>
      <c r="L10" s="551">
        <f t="shared" si="0"/>
        <v>2.7000000000000001E-3</v>
      </c>
      <c r="M10" s="598" t="s">
        <v>3369</v>
      </c>
    </row>
    <row r="11" spans="2:13" ht="15" customHeight="1">
      <c r="B11" s="549">
        <v>46189</v>
      </c>
      <c r="C11" s="548" t="s">
        <v>3302</v>
      </c>
      <c r="D11" s="577" t="s">
        <v>3289</v>
      </c>
      <c r="E11" s="548">
        <v>7</v>
      </c>
      <c r="F11" s="548" t="s">
        <v>3191</v>
      </c>
      <c r="G11" s="585" t="s">
        <v>3348</v>
      </c>
      <c r="H11" s="548" t="s">
        <v>3188</v>
      </c>
      <c r="I11" s="548" t="s">
        <v>3190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3332</v>
      </c>
      <c r="D12" s="577" t="s">
        <v>3289</v>
      </c>
      <c r="E12" s="548">
        <v>7</v>
      </c>
      <c r="F12" s="548" t="s">
        <v>3191</v>
      </c>
      <c r="G12" s="585" t="s">
        <v>3348</v>
      </c>
      <c r="H12" s="548" t="s">
        <v>3187</v>
      </c>
      <c r="I12" s="548" t="s">
        <v>3190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3313</v>
      </c>
      <c r="D13" s="577" t="s">
        <v>3289</v>
      </c>
      <c r="E13" s="548">
        <v>8</v>
      </c>
      <c r="F13" s="548" t="s">
        <v>3191</v>
      </c>
      <c r="G13" s="585" t="s">
        <v>3348</v>
      </c>
      <c r="H13" s="548" t="s">
        <v>3188</v>
      </c>
      <c r="I13" s="548" t="s">
        <v>3190</v>
      </c>
      <c r="J13" s="550">
        <v>100</v>
      </c>
      <c r="K13" s="550">
        <v>0.2</v>
      </c>
      <c r="L13" s="551">
        <f t="shared" si="0"/>
        <v>2E-3</v>
      </c>
      <c r="M13" s="598" t="s">
        <v>3370</v>
      </c>
    </row>
    <row r="14" spans="2:13" ht="15" customHeight="1">
      <c r="B14" s="549">
        <v>46191</v>
      </c>
      <c r="C14" s="548" t="s">
        <v>3359</v>
      </c>
      <c r="D14" s="577" t="s">
        <v>3289</v>
      </c>
      <c r="E14" s="548">
        <v>8</v>
      </c>
      <c r="F14" s="548" t="s">
        <v>3191</v>
      </c>
      <c r="G14" s="585" t="s">
        <v>3348</v>
      </c>
      <c r="H14" s="548" t="s">
        <v>3188</v>
      </c>
      <c r="I14" s="548" t="s">
        <v>3190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3356</v>
      </c>
      <c r="D15" s="577" t="s">
        <v>3289</v>
      </c>
      <c r="E15" s="548">
        <v>7</v>
      </c>
      <c r="F15" s="548" t="s">
        <v>3191</v>
      </c>
      <c r="G15" s="585" t="s">
        <v>3348</v>
      </c>
      <c r="H15" s="548" t="s">
        <v>3188</v>
      </c>
      <c r="I15" s="548" t="s">
        <v>3190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3368</v>
      </c>
    </row>
    <row r="16" spans="2:13" ht="15" customHeight="1">
      <c r="B16" s="549">
        <v>46191</v>
      </c>
      <c r="C16" s="548" t="s">
        <v>3350</v>
      </c>
      <c r="D16" s="577" t="s">
        <v>3289</v>
      </c>
      <c r="E16" s="548">
        <v>8</v>
      </c>
      <c r="F16" s="548" t="s">
        <v>3191</v>
      </c>
      <c r="G16" s="585" t="s">
        <v>3348</v>
      </c>
      <c r="H16" s="548" t="s">
        <v>3188</v>
      </c>
      <c r="I16" s="548" t="s">
        <v>3190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3471</v>
      </c>
      <c r="D17" s="577" t="s">
        <v>3289</v>
      </c>
      <c r="E17" s="548">
        <v>8</v>
      </c>
      <c r="F17" s="548" t="s">
        <v>3191</v>
      </c>
      <c r="G17" s="585" t="s">
        <v>3348</v>
      </c>
      <c r="H17" s="548" t="s">
        <v>3188</v>
      </c>
      <c r="I17" s="548" t="s">
        <v>3190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3468</v>
      </c>
      <c r="D18" s="577" t="s">
        <v>3289</v>
      </c>
      <c r="E18" s="548">
        <v>7</v>
      </c>
      <c r="F18" s="548" t="s">
        <v>3191</v>
      </c>
      <c r="G18" s="585" t="s">
        <v>3348</v>
      </c>
      <c r="H18" s="548" t="s">
        <v>3188</v>
      </c>
      <c r="I18" s="548" t="s">
        <v>3190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3461</v>
      </c>
      <c r="D19" s="577" t="s">
        <v>3289</v>
      </c>
      <c r="E19" s="548">
        <v>8</v>
      </c>
      <c r="F19" s="548" t="s">
        <v>3191</v>
      </c>
      <c r="G19" s="585" t="s">
        <v>3348</v>
      </c>
      <c r="H19" s="548" t="s">
        <v>3187</v>
      </c>
      <c r="I19" s="644" t="s">
        <v>3198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3454</v>
      </c>
      <c r="D20" s="577" t="s">
        <v>3195</v>
      </c>
      <c r="E20" s="548">
        <v>8</v>
      </c>
      <c r="F20" s="548" t="s">
        <v>3200</v>
      </c>
      <c r="G20" s="548" t="s">
        <v>3200</v>
      </c>
      <c r="H20" s="644" t="s">
        <v>3188</v>
      </c>
      <c r="I20" s="644" t="s">
        <v>3198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3499</v>
      </c>
      <c r="D21" s="577" t="s">
        <v>3289</v>
      </c>
      <c r="E21" s="548">
        <v>7</v>
      </c>
      <c r="F21" s="548" t="s">
        <v>3191</v>
      </c>
      <c r="G21" s="548" t="s">
        <v>3348</v>
      </c>
      <c r="H21" s="644" t="s">
        <v>3188</v>
      </c>
      <c r="I21" s="644" t="s">
        <v>3190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3498</v>
      </c>
      <c r="D22" s="577" t="s">
        <v>3289</v>
      </c>
      <c r="E22" s="548">
        <v>7</v>
      </c>
      <c r="F22" s="548" t="s">
        <v>3191</v>
      </c>
      <c r="G22" s="548" t="s">
        <v>3348</v>
      </c>
      <c r="H22" s="644" t="s">
        <v>3188</v>
      </c>
      <c r="I22" s="644" t="s">
        <v>3190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3589</v>
      </c>
      <c r="D23" s="577" t="s">
        <v>3289</v>
      </c>
      <c r="E23" s="548">
        <v>9</v>
      </c>
      <c r="F23" s="548" t="s">
        <v>3191</v>
      </c>
      <c r="G23" s="548" t="s">
        <v>3348</v>
      </c>
      <c r="H23" s="644" t="s">
        <v>3188</v>
      </c>
      <c r="I23" s="644" t="s">
        <v>3190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3603</v>
      </c>
      <c r="D24" s="577" t="s">
        <v>3289</v>
      </c>
      <c r="E24" s="548">
        <v>9</v>
      </c>
      <c r="F24" s="548" t="s">
        <v>3191</v>
      </c>
      <c r="G24" s="548" t="s">
        <v>3348</v>
      </c>
      <c r="H24" s="644" t="s">
        <v>3188</v>
      </c>
      <c r="I24" s="644" t="s">
        <v>3190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422" t="s">
        <v>266</v>
      </c>
      <c r="C2" s="1423" t="s">
        <v>385</v>
      </c>
      <c r="E2" s="1422" t="s">
        <v>266</v>
      </c>
      <c r="F2" s="1423" t="s">
        <v>385</v>
      </c>
      <c r="G2" s="1423" t="s">
        <v>3947</v>
      </c>
      <c r="H2" s="1423" t="s">
        <v>3944</v>
      </c>
      <c r="J2" s="1422" t="s">
        <v>266</v>
      </c>
      <c r="K2" s="1423" t="s">
        <v>385</v>
      </c>
      <c r="L2" s="1423" t="s">
        <v>3944</v>
      </c>
      <c r="N2" s="1422" t="s">
        <v>266</v>
      </c>
      <c r="O2" s="1423" t="s">
        <v>385</v>
      </c>
      <c r="P2" s="1423" t="s">
        <v>3944</v>
      </c>
      <c r="R2" s="1422" t="s">
        <v>266</v>
      </c>
      <c r="S2" s="1423" t="s">
        <v>385</v>
      </c>
      <c r="T2" s="1423" t="s">
        <v>3944</v>
      </c>
    </row>
    <row r="3" spans="2:20" ht="15" customHeight="1">
      <c r="B3" s="1424" t="s">
        <v>3191</v>
      </c>
      <c r="C3" s="1416">
        <v>430.91</v>
      </c>
      <c r="E3" s="1424" t="s">
        <v>3191</v>
      </c>
      <c r="F3" s="1416">
        <v>343.95</v>
      </c>
      <c r="G3" s="1416">
        <v>4.1289795918367354</v>
      </c>
      <c r="H3" s="1417">
        <v>49</v>
      </c>
      <c r="I3" s="1029"/>
      <c r="J3" s="1424" t="s">
        <v>3946</v>
      </c>
      <c r="K3" s="1416">
        <v>167.39000000000004</v>
      </c>
      <c r="L3" s="1417">
        <v>38</v>
      </c>
      <c r="M3" s="1029"/>
      <c r="N3" s="1424" t="s">
        <v>3187</v>
      </c>
      <c r="O3" s="1416">
        <v>-0.25000000000001066</v>
      </c>
      <c r="P3" s="1417">
        <v>38</v>
      </c>
      <c r="R3" s="1424" t="s">
        <v>3190</v>
      </c>
      <c r="S3" s="1416">
        <v>254.81000000000012</v>
      </c>
      <c r="T3" s="1417">
        <v>35</v>
      </c>
    </row>
    <row r="4" spans="2:20" ht="15" customHeight="1">
      <c r="B4" s="1430" t="s">
        <v>3925</v>
      </c>
      <c r="C4" s="1416">
        <v>114.71</v>
      </c>
      <c r="E4" s="1424" t="s">
        <v>3286</v>
      </c>
      <c r="F4" s="1416">
        <v>-144.39999999999998</v>
      </c>
      <c r="G4" s="1416">
        <v>6.1157894736842104</v>
      </c>
      <c r="H4" s="1417">
        <v>19</v>
      </c>
      <c r="I4" s="1029"/>
      <c r="J4" s="1424" t="s">
        <v>3945</v>
      </c>
      <c r="K4" s="1416">
        <v>119.11999999999996</v>
      </c>
      <c r="L4" s="1417">
        <v>27</v>
      </c>
      <c r="M4" s="1029"/>
      <c r="N4" s="1424" t="s">
        <v>3188</v>
      </c>
      <c r="O4" s="1416">
        <v>286.7600000000001</v>
      </c>
      <c r="P4" s="1417">
        <v>27</v>
      </c>
      <c r="R4" s="1424" t="s">
        <v>3198</v>
      </c>
      <c r="S4" s="1416">
        <v>31.699999999999964</v>
      </c>
      <c r="T4" s="1417">
        <v>30</v>
      </c>
    </row>
    <row r="5" spans="2:20" ht="15" customHeight="1">
      <c r="B5" s="1430" t="s">
        <v>3926</v>
      </c>
      <c r="C5" s="1416">
        <v>-86.91</v>
      </c>
      <c r="E5" s="1424" t="s">
        <v>267</v>
      </c>
      <c r="F5" s="1416">
        <v>199.55</v>
      </c>
      <c r="G5" s="1416">
        <v>4.6841176470588231</v>
      </c>
      <c r="H5" s="1417">
        <v>68</v>
      </c>
      <c r="I5" s="1029"/>
      <c r="J5" s="1424" t="s">
        <v>267</v>
      </c>
      <c r="K5" s="1416">
        <v>286.51000000000005</v>
      </c>
      <c r="L5" s="1417">
        <v>65</v>
      </c>
      <c r="M5" s="1029"/>
      <c r="N5" s="1424" t="s">
        <v>267</v>
      </c>
      <c r="O5" s="1416">
        <v>286.5100000000001</v>
      </c>
      <c r="P5" s="1417">
        <v>65</v>
      </c>
      <c r="R5" s="1424" t="s">
        <v>267</v>
      </c>
      <c r="S5" s="1416">
        <v>286.51000000000028</v>
      </c>
      <c r="T5" s="1417">
        <v>65</v>
      </c>
    </row>
    <row r="6" spans="2:20" ht="15" customHeight="1">
      <c r="B6" s="1430" t="s">
        <v>3927</v>
      </c>
      <c r="C6" s="1416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430" t="s">
        <v>3928</v>
      </c>
      <c r="C7" s="1416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430" t="s">
        <v>3929</v>
      </c>
      <c r="C8" s="1416">
        <v>-148.69</v>
      </c>
      <c r="E8" s="1422" t="s">
        <v>12</v>
      </c>
      <c r="F8" s="1423" t="s">
        <v>3191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430" t="s">
        <v>3930</v>
      </c>
      <c r="C9" s="1416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430" t="s">
        <v>3931</v>
      </c>
      <c r="C10" s="1416">
        <v>76.830000000000013</v>
      </c>
      <c r="E10" s="1422" t="s">
        <v>266</v>
      </c>
      <c r="F10" s="1423" t="s">
        <v>385</v>
      </c>
      <c r="G10" s="1423" t="s">
        <v>3947</v>
      </c>
      <c r="H10" s="1423" t="s">
        <v>3944</v>
      </c>
    </row>
    <row r="11" spans="2:20" ht="15" customHeight="1">
      <c r="B11" s="1430" t="s">
        <v>3932</v>
      </c>
      <c r="C11" s="1416">
        <v>50.230000000000004</v>
      </c>
      <c r="E11" s="1424" t="s">
        <v>75</v>
      </c>
      <c r="F11" s="1416">
        <v>-484.33000000000004</v>
      </c>
      <c r="G11" s="1416">
        <v>3.6079999999999997</v>
      </c>
      <c r="H11" s="1417">
        <v>5</v>
      </c>
    </row>
    <row r="12" spans="2:20" ht="15" customHeight="1">
      <c r="B12" s="1430" t="s">
        <v>3933</v>
      </c>
      <c r="C12" s="1416">
        <v>26.75</v>
      </c>
      <c r="E12" s="1424" t="s">
        <v>3345</v>
      </c>
      <c r="F12" s="1416">
        <v>68.160000000000011</v>
      </c>
      <c r="G12" s="1416">
        <v>3.625</v>
      </c>
      <c r="H12" s="1417">
        <v>4</v>
      </c>
    </row>
    <row r="13" spans="2:20" ht="15" customHeight="1">
      <c r="B13" s="1430" t="s">
        <v>3934</v>
      </c>
      <c r="C13" s="1416">
        <v>78.309999999999988</v>
      </c>
      <c r="E13" s="1424" t="s">
        <v>3212</v>
      </c>
      <c r="F13" s="1416">
        <v>-51.780000000000008</v>
      </c>
      <c r="G13" s="1416">
        <v>3.8920000000000003</v>
      </c>
      <c r="H13" s="1417">
        <v>5</v>
      </c>
    </row>
    <row r="14" spans="2:20" ht="15" customHeight="1">
      <c r="B14" s="1430" t="s">
        <v>3935</v>
      </c>
      <c r="C14" s="1416">
        <v>27.9</v>
      </c>
      <c r="E14" s="1424" t="s">
        <v>3587</v>
      </c>
      <c r="F14" s="1416">
        <v>-56.7</v>
      </c>
      <c r="G14" s="1416">
        <v>3.9249999999999998</v>
      </c>
      <c r="H14" s="1417">
        <v>2</v>
      </c>
    </row>
    <row r="15" spans="2:20" ht="15" customHeight="1">
      <c r="B15" s="1430" t="s">
        <v>3936</v>
      </c>
      <c r="C15" s="1416">
        <v>44.44</v>
      </c>
      <c r="E15" s="1424" t="s">
        <v>3581</v>
      </c>
      <c r="F15" s="1416">
        <v>595.61999999999989</v>
      </c>
      <c r="G15" s="1416">
        <v>4.2961111111111112</v>
      </c>
      <c r="H15" s="1417">
        <v>18</v>
      </c>
    </row>
    <row r="16" spans="2:20" ht="15" customHeight="1">
      <c r="B16" s="1430" t="s">
        <v>3938</v>
      </c>
      <c r="C16" s="1416">
        <v>10.86</v>
      </c>
      <c r="E16" s="1424" t="s">
        <v>3633</v>
      </c>
      <c r="F16" s="1416">
        <v>19.579999999999998</v>
      </c>
      <c r="G16" s="1416">
        <v>4.4666666666666668</v>
      </c>
      <c r="H16" s="1417">
        <v>3</v>
      </c>
    </row>
    <row r="17" spans="2:8" ht="15" customHeight="1">
      <c r="B17" s="1430" t="s">
        <v>3939</v>
      </c>
      <c r="C17" s="1416">
        <v>29.54</v>
      </c>
      <c r="E17" s="1424" t="s">
        <v>3580</v>
      </c>
      <c r="F17" s="1416">
        <v>44.739999999999995</v>
      </c>
      <c r="G17" s="1416">
        <v>4.3449999999999998</v>
      </c>
      <c r="H17" s="1417">
        <v>2</v>
      </c>
    </row>
    <row r="18" spans="2:8" ht="15" customHeight="1">
      <c r="B18" s="1424" t="s">
        <v>3286</v>
      </c>
      <c r="C18" s="1416">
        <v>-144.39999999999998</v>
      </c>
      <c r="E18" s="1424" t="s">
        <v>3582</v>
      </c>
      <c r="F18" s="1416">
        <v>295.62</v>
      </c>
      <c r="G18" s="1416">
        <v>4.2642857142857142</v>
      </c>
      <c r="H18" s="1417">
        <v>7</v>
      </c>
    </row>
    <row r="19" spans="2:8" ht="15" customHeight="1">
      <c r="B19" s="1430" t="s">
        <v>3934</v>
      </c>
      <c r="C19" s="1416">
        <v>12.41</v>
      </c>
      <c r="E19" s="1424" t="s">
        <v>267</v>
      </c>
      <c r="F19" s="1416">
        <v>430.91000000000014</v>
      </c>
      <c r="G19" s="1416">
        <v>4.1113043478260867</v>
      </c>
      <c r="H19" s="1417">
        <v>46</v>
      </c>
    </row>
    <row r="20" spans="2:8" ht="15" customHeight="1">
      <c r="B20" s="1430" t="s">
        <v>3936</v>
      </c>
      <c r="C20" s="1416">
        <v>-142.26999999999998</v>
      </c>
      <c r="E20" s="1025"/>
      <c r="F20" s="1025"/>
      <c r="G20" s="1025"/>
      <c r="H20" s="1025"/>
    </row>
    <row r="21" spans="2:8" ht="15" customHeight="1">
      <c r="B21" s="1430" t="s">
        <v>3937</v>
      </c>
      <c r="C21" s="1416">
        <v>50.61</v>
      </c>
      <c r="E21" s="1025"/>
      <c r="F21" s="1025"/>
      <c r="G21" s="1025"/>
      <c r="H21" s="1025"/>
    </row>
    <row r="22" spans="2:8" ht="15" customHeight="1">
      <c r="B22" s="1430" t="s">
        <v>3938</v>
      </c>
      <c r="C22" s="1416">
        <v>-14.3</v>
      </c>
      <c r="E22" s="1025"/>
      <c r="F22" s="1025"/>
      <c r="G22" s="1025"/>
      <c r="H22" s="1025"/>
    </row>
    <row r="23" spans="2:8" ht="15" customHeight="1">
      <c r="B23" s="1430" t="s">
        <v>3939</v>
      </c>
      <c r="C23" s="1416">
        <v>-8.36</v>
      </c>
      <c r="E23" s="1025"/>
      <c r="F23" s="1025"/>
      <c r="G23" s="1025"/>
      <c r="H23" s="1025"/>
    </row>
    <row r="24" spans="2:8" ht="15" customHeight="1">
      <c r="B24" s="1430" t="s">
        <v>3940</v>
      </c>
      <c r="C24" s="1416">
        <v>-0.91000000000000014</v>
      </c>
      <c r="E24" s="1025"/>
      <c r="F24" s="1025"/>
      <c r="G24" s="1025"/>
      <c r="H24" s="1025"/>
    </row>
    <row r="25" spans="2:8" ht="15" customHeight="1">
      <c r="B25" s="1430" t="s">
        <v>3941</v>
      </c>
      <c r="C25" s="1416">
        <v>-100.96</v>
      </c>
      <c r="E25" s="1025"/>
      <c r="F25" s="1025"/>
      <c r="G25" s="1025"/>
      <c r="H25" s="1025"/>
    </row>
    <row r="26" spans="2:8" ht="15" customHeight="1">
      <c r="B26" s="1430" t="s">
        <v>3942</v>
      </c>
      <c r="C26" s="1416">
        <v>27.269999999999996</v>
      </c>
      <c r="E26" s="1025"/>
      <c r="F26" s="1025"/>
      <c r="G26" s="1025"/>
    </row>
    <row r="27" spans="2:8" ht="15" customHeight="1">
      <c r="B27" s="1430" t="s">
        <v>3943</v>
      </c>
      <c r="C27" s="1416">
        <v>32.11</v>
      </c>
      <c r="E27" s="1025"/>
      <c r="F27" s="1025"/>
      <c r="G27" s="1025"/>
    </row>
    <row r="28" spans="2:8" ht="15" customHeight="1">
      <c r="B28" s="1424" t="s">
        <v>267</v>
      </c>
      <c r="C28" s="1416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3194</v>
      </c>
      <c r="E2" s="4" t="s">
        <v>3197</v>
      </c>
      <c r="F2" s="4" t="s">
        <v>72</v>
      </c>
      <c r="G2" s="4" t="s">
        <v>3968</v>
      </c>
      <c r="H2" s="4" t="s">
        <v>3229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</row>
    <row r="3" spans="2:15" ht="15" customHeight="1">
      <c r="B3" s="549">
        <v>46182</v>
      </c>
      <c r="C3" s="548" t="s">
        <v>3206</v>
      </c>
      <c r="D3" s="548" t="s">
        <v>3196</v>
      </c>
      <c r="E3" s="550">
        <v>4.09</v>
      </c>
      <c r="F3" s="867" t="s">
        <v>3580</v>
      </c>
      <c r="G3" s="1038" t="s">
        <v>3229</v>
      </c>
      <c r="H3" s="1030" t="s">
        <v>3945</v>
      </c>
      <c r="I3" s="548" t="s">
        <v>3191</v>
      </c>
      <c r="J3" s="548" t="s">
        <v>390</v>
      </c>
      <c r="K3" s="548" t="s">
        <v>3187</v>
      </c>
      <c r="L3" s="548" t="s">
        <v>3198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3504</v>
      </c>
      <c r="D4" s="548" t="s">
        <v>3289</v>
      </c>
      <c r="E4" s="550">
        <v>5</v>
      </c>
      <c r="F4" s="867" t="s">
        <v>3582</v>
      </c>
      <c r="G4" s="1038" t="s">
        <v>3229</v>
      </c>
      <c r="H4" s="1030" t="s">
        <v>3946</v>
      </c>
      <c r="I4" s="548" t="s">
        <v>3191</v>
      </c>
      <c r="J4" s="843" t="s">
        <v>3348</v>
      </c>
      <c r="K4" s="843" t="s">
        <v>3188</v>
      </c>
      <c r="L4" s="843" t="s">
        <v>3190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3518</v>
      </c>
      <c r="D5" s="548" t="s">
        <v>3289</v>
      </c>
      <c r="E5" s="550">
        <v>5.4</v>
      </c>
      <c r="F5" s="867" t="s">
        <v>3581</v>
      </c>
      <c r="G5" s="1038" t="s">
        <v>3229</v>
      </c>
      <c r="H5" s="1030" t="s">
        <v>3946</v>
      </c>
      <c r="I5" s="548" t="s">
        <v>3191</v>
      </c>
      <c r="J5" s="843" t="s">
        <v>3348</v>
      </c>
      <c r="K5" s="548" t="s">
        <v>3187</v>
      </c>
      <c r="L5" s="843" t="s">
        <v>3190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3511</v>
      </c>
      <c r="D6" s="548" t="s">
        <v>3289</v>
      </c>
      <c r="E6" s="550">
        <v>3.8</v>
      </c>
      <c r="F6" s="867" t="s">
        <v>3582</v>
      </c>
      <c r="G6" s="1038" t="s">
        <v>3229</v>
      </c>
      <c r="H6" s="1030" t="s">
        <v>3946</v>
      </c>
      <c r="I6" s="548" t="s">
        <v>3191</v>
      </c>
      <c r="J6" s="843" t="s">
        <v>3348</v>
      </c>
      <c r="K6" s="548" t="s">
        <v>3188</v>
      </c>
      <c r="L6" s="843" t="s">
        <v>3190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3526</v>
      </c>
      <c r="D7" s="548" t="s">
        <v>3195</v>
      </c>
      <c r="E7" s="550">
        <v>3.4</v>
      </c>
      <c r="F7" s="867" t="s">
        <v>3345</v>
      </c>
      <c r="G7" s="1038" t="s">
        <v>3229</v>
      </c>
      <c r="H7" s="1030" t="s">
        <v>3946</v>
      </c>
      <c r="I7" s="548" t="s">
        <v>3191</v>
      </c>
      <c r="J7" s="843" t="s">
        <v>390</v>
      </c>
      <c r="K7" s="548" t="s">
        <v>3188</v>
      </c>
      <c r="L7" s="843" t="s">
        <v>3190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3553</v>
      </c>
      <c r="D8" s="548" t="s">
        <v>3285</v>
      </c>
      <c r="E8" s="550">
        <v>5</v>
      </c>
      <c r="F8" s="867" t="s">
        <v>3581</v>
      </c>
      <c r="G8" s="1038" t="s">
        <v>3229</v>
      </c>
      <c r="H8" s="1030" t="s">
        <v>3946</v>
      </c>
      <c r="I8" s="548" t="s">
        <v>3191</v>
      </c>
      <c r="J8" s="843" t="s">
        <v>390</v>
      </c>
      <c r="K8" s="548" t="s">
        <v>3187</v>
      </c>
      <c r="L8" s="843" t="s">
        <v>3198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3548</v>
      </c>
      <c r="D9" s="548" t="s">
        <v>3585</v>
      </c>
      <c r="E9" s="550">
        <v>4.5999999999999996</v>
      </c>
      <c r="F9" s="867" t="s">
        <v>3580</v>
      </c>
      <c r="G9" s="1038" t="s">
        <v>3229</v>
      </c>
      <c r="H9" s="1030" t="s">
        <v>3945</v>
      </c>
      <c r="I9" s="548" t="s">
        <v>3191</v>
      </c>
      <c r="J9" s="843" t="s">
        <v>390</v>
      </c>
      <c r="K9" s="548" t="s">
        <v>3187</v>
      </c>
      <c r="L9" s="843" t="s">
        <v>3198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3546</v>
      </c>
      <c r="D10" s="548" t="s">
        <v>3195</v>
      </c>
      <c r="E10" s="550">
        <v>3.6</v>
      </c>
      <c r="F10" s="867" t="s">
        <v>3582</v>
      </c>
      <c r="G10" s="1038" t="s">
        <v>3229</v>
      </c>
      <c r="H10" s="1030" t="s">
        <v>3946</v>
      </c>
      <c r="I10" s="548" t="s">
        <v>3191</v>
      </c>
      <c r="J10" s="843" t="s">
        <v>390</v>
      </c>
      <c r="K10" s="548" t="s">
        <v>3188</v>
      </c>
      <c r="L10" s="843" t="s">
        <v>3190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3544</v>
      </c>
      <c r="D11" s="548" t="s">
        <v>3586</v>
      </c>
      <c r="E11" s="550">
        <v>3.75</v>
      </c>
      <c r="F11" s="867" t="s">
        <v>3587</v>
      </c>
      <c r="G11" s="1038" t="s">
        <v>3229</v>
      </c>
      <c r="H11" s="1030" t="s">
        <v>3945</v>
      </c>
      <c r="I11" s="548" t="s">
        <v>3191</v>
      </c>
      <c r="J11" s="843" t="s">
        <v>390</v>
      </c>
      <c r="K11" s="548" t="s">
        <v>3187</v>
      </c>
      <c r="L11" s="843" t="s">
        <v>3198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3542</v>
      </c>
      <c r="D12" s="548" t="s">
        <v>3586</v>
      </c>
      <c r="E12" s="550">
        <v>3.84</v>
      </c>
      <c r="F12" s="867" t="s">
        <v>75</v>
      </c>
      <c r="G12" s="1038" t="s">
        <v>3229</v>
      </c>
      <c r="H12" s="1030" t="s">
        <v>3945</v>
      </c>
      <c r="I12" s="548" t="s">
        <v>3191</v>
      </c>
      <c r="J12" s="843" t="s">
        <v>390</v>
      </c>
      <c r="K12" s="548" t="s">
        <v>3187</v>
      </c>
      <c r="L12" s="843" t="s">
        <v>3198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3534</v>
      </c>
      <c r="D13" s="548" t="s">
        <v>3196</v>
      </c>
      <c r="E13" s="550">
        <v>5.2</v>
      </c>
      <c r="F13" s="867" t="s">
        <v>3582</v>
      </c>
      <c r="G13" s="1038" t="s">
        <v>3229</v>
      </c>
      <c r="H13" s="1030" t="s">
        <v>3946</v>
      </c>
      <c r="I13" s="548" t="s">
        <v>3191</v>
      </c>
      <c r="J13" s="843" t="s">
        <v>390</v>
      </c>
      <c r="K13" s="548" t="s">
        <v>3187</v>
      </c>
      <c r="L13" s="843" t="s">
        <v>3198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3540</v>
      </c>
      <c r="D14" s="548" t="s">
        <v>3195</v>
      </c>
      <c r="E14" s="550">
        <v>3.3</v>
      </c>
      <c r="F14" s="867" t="s">
        <v>3581</v>
      </c>
      <c r="G14" s="1038" t="s">
        <v>3229</v>
      </c>
      <c r="H14" s="1030" t="s">
        <v>3945</v>
      </c>
      <c r="I14" s="548" t="s">
        <v>3191</v>
      </c>
      <c r="J14" s="843" t="s">
        <v>390</v>
      </c>
      <c r="K14" s="548" t="s">
        <v>3188</v>
      </c>
      <c r="L14" s="843" t="s">
        <v>3190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3537</v>
      </c>
      <c r="D15" s="548" t="s">
        <v>3195</v>
      </c>
      <c r="E15" s="550">
        <v>5</v>
      </c>
      <c r="F15" s="867" t="s">
        <v>3581</v>
      </c>
      <c r="G15" s="1038" t="s">
        <v>3229</v>
      </c>
      <c r="H15" s="1030" t="s">
        <v>3946</v>
      </c>
      <c r="I15" s="548" t="s">
        <v>3191</v>
      </c>
      <c r="J15" s="843" t="s">
        <v>390</v>
      </c>
      <c r="K15" s="548" t="s">
        <v>3188</v>
      </c>
      <c r="L15" s="843" t="s">
        <v>3190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3536</v>
      </c>
      <c r="D16" s="548" t="s">
        <v>3195</v>
      </c>
      <c r="E16" s="550">
        <v>3.45</v>
      </c>
      <c r="F16" s="867" t="s">
        <v>75</v>
      </c>
      <c r="G16" s="1038" t="s">
        <v>3229</v>
      </c>
      <c r="H16" s="1030" t="s">
        <v>3945</v>
      </c>
      <c r="I16" s="548" t="s">
        <v>3191</v>
      </c>
      <c r="J16" s="843" t="s">
        <v>390</v>
      </c>
      <c r="K16" s="548" t="s">
        <v>3188</v>
      </c>
      <c r="L16" s="843" t="s">
        <v>3190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3590</v>
      </c>
      <c r="D17" s="548" t="s">
        <v>3289</v>
      </c>
      <c r="E17" s="550">
        <v>5.5</v>
      </c>
      <c r="F17" s="867" t="s">
        <v>3212</v>
      </c>
      <c r="G17" s="1038" t="s">
        <v>3229</v>
      </c>
      <c r="H17" s="1030" t="s">
        <v>3946</v>
      </c>
      <c r="I17" s="548" t="s">
        <v>3286</v>
      </c>
      <c r="J17" s="843" t="s">
        <v>3348</v>
      </c>
      <c r="K17" s="548" t="s">
        <v>3187</v>
      </c>
      <c r="L17" s="843" t="s">
        <v>3190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3598</v>
      </c>
      <c r="D18" s="548" t="s">
        <v>3289</v>
      </c>
      <c r="E18" s="550">
        <v>2.96</v>
      </c>
      <c r="F18" s="867" t="s">
        <v>3581</v>
      </c>
      <c r="G18" s="1038" t="s">
        <v>3229</v>
      </c>
      <c r="H18" s="1030" t="s">
        <v>3945</v>
      </c>
      <c r="I18" s="548" t="s">
        <v>3191</v>
      </c>
      <c r="J18" s="843" t="s">
        <v>3348</v>
      </c>
      <c r="K18" s="548" t="s">
        <v>3188</v>
      </c>
      <c r="L18" s="843" t="s">
        <v>3190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3605</v>
      </c>
      <c r="D19" s="548" t="s">
        <v>3289</v>
      </c>
      <c r="E19" s="550">
        <v>5.4</v>
      </c>
      <c r="F19" s="867" t="s">
        <v>3581</v>
      </c>
      <c r="G19" s="1038" t="s">
        <v>3229</v>
      </c>
      <c r="H19" s="1030" t="s">
        <v>3946</v>
      </c>
      <c r="I19" s="548" t="s">
        <v>3286</v>
      </c>
      <c r="J19" s="843" t="s">
        <v>3348</v>
      </c>
      <c r="K19" s="548" t="s">
        <v>3187</v>
      </c>
      <c r="L19" s="843" t="s">
        <v>3198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3623</v>
      </c>
      <c r="D20" s="548" t="s">
        <v>3195</v>
      </c>
      <c r="E20" s="550">
        <v>3.55</v>
      </c>
      <c r="F20" s="867" t="s">
        <v>75</v>
      </c>
      <c r="G20" s="1038" t="s">
        <v>3229</v>
      </c>
      <c r="H20" s="1030" t="s">
        <v>3946</v>
      </c>
      <c r="I20" s="548" t="s">
        <v>3191</v>
      </c>
      <c r="J20" s="843" t="s">
        <v>390</v>
      </c>
      <c r="K20" s="548" t="s">
        <v>3188</v>
      </c>
      <c r="L20" s="843" t="s">
        <v>3190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3621</v>
      </c>
      <c r="D21" s="548" t="s">
        <v>3289</v>
      </c>
      <c r="E21" s="550">
        <v>3.8</v>
      </c>
      <c r="F21" s="867" t="s">
        <v>3633</v>
      </c>
      <c r="G21" s="1038" t="s">
        <v>3229</v>
      </c>
      <c r="H21" s="1030" t="s">
        <v>3945</v>
      </c>
      <c r="I21" s="548" t="s">
        <v>3191</v>
      </c>
      <c r="J21" s="843" t="s">
        <v>3348</v>
      </c>
      <c r="K21" s="548" t="s">
        <v>3188</v>
      </c>
      <c r="L21" s="843" t="s">
        <v>3190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3620</v>
      </c>
      <c r="D22" s="548" t="s">
        <v>3195</v>
      </c>
      <c r="E22" s="550">
        <v>6.8</v>
      </c>
      <c r="F22" s="867" t="s">
        <v>3582</v>
      </c>
      <c r="G22" s="1038" t="s">
        <v>3229</v>
      </c>
      <c r="H22" s="1030" t="s">
        <v>3946</v>
      </c>
      <c r="I22" s="548" t="s">
        <v>3286</v>
      </c>
      <c r="J22" s="843" t="s">
        <v>390</v>
      </c>
      <c r="K22" s="548" t="s">
        <v>3187</v>
      </c>
      <c r="L22" s="843" t="s">
        <v>3190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3643</v>
      </c>
      <c r="D23" s="548" t="s">
        <v>3585</v>
      </c>
      <c r="E23" s="550">
        <v>5.87</v>
      </c>
      <c r="F23" s="867" t="s">
        <v>3581</v>
      </c>
      <c r="G23" s="1038" t="s">
        <v>3229</v>
      </c>
      <c r="H23" s="1030" t="s">
        <v>3945</v>
      </c>
      <c r="I23" s="548" t="s">
        <v>3191</v>
      </c>
      <c r="J23" s="843" t="s">
        <v>390</v>
      </c>
      <c r="K23" s="548" t="s">
        <v>3187</v>
      </c>
      <c r="L23" s="843" t="s">
        <v>3198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3667</v>
      </c>
      <c r="D24" s="548" t="s">
        <v>3289</v>
      </c>
      <c r="E24" s="550">
        <v>4.5</v>
      </c>
      <c r="F24" s="867" t="s">
        <v>3582</v>
      </c>
      <c r="G24" s="1038" t="s">
        <v>3229</v>
      </c>
      <c r="H24" s="1030" t="s">
        <v>3946</v>
      </c>
      <c r="I24" s="548" t="s">
        <v>3191</v>
      </c>
      <c r="J24" s="1024" t="s">
        <v>3348</v>
      </c>
      <c r="K24" s="1024" t="s">
        <v>3188</v>
      </c>
      <c r="L24" s="1024" t="s">
        <v>3190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3659</v>
      </c>
      <c r="D25" s="548" t="s">
        <v>3289</v>
      </c>
      <c r="E25" s="550">
        <v>3.45</v>
      </c>
      <c r="F25" s="867" t="s">
        <v>3345</v>
      </c>
      <c r="G25" s="1038" t="s">
        <v>3229</v>
      </c>
      <c r="H25" s="1030" t="s">
        <v>3945</v>
      </c>
      <c r="I25" s="548" t="s">
        <v>3191</v>
      </c>
      <c r="J25" s="843" t="s">
        <v>3348</v>
      </c>
      <c r="K25" s="548" t="s">
        <v>3188</v>
      </c>
      <c r="L25" s="843" t="s">
        <v>3190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3658</v>
      </c>
      <c r="D26" s="548" t="s">
        <v>3195</v>
      </c>
      <c r="E26" s="550">
        <v>3.45</v>
      </c>
      <c r="F26" s="867" t="s">
        <v>3581</v>
      </c>
      <c r="G26" s="1038" t="s">
        <v>3229</v>
      </c>
      <c r="H26" s="1030" t="s">
        <v>3945</v>
      </c>
      <c r="I26" s="548" t="s">
        <v>3191</v>
      </c>
      <c r="J26" s="843" t="s">
        <v>390</v>
      </c>
      <c r="K26" s="548" t="s">
        <v>3188</v>
      </c>
      <c r="L26" s="843" t="s">
        <v>3198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3662</v>
      </c>
      <c r="D27" s="548" t="s">
        <v>3586</v>
      </c>
      <c r="E27" s="550">
        <v>6.8</v>
      </c>
      <c r="F27" s="904" t="s">
        <v>3581</v>
      </c>
      <c r="G27" s="1038" t="s">
        <v>3229</v>
      </c>
      <c r="H27" s="1030" t="s">
        <v>3946</v>
      </c>
      <c r="I27" s="548" t="s">
        <v>3286</v>
      </c>
      <c r="J27" s="843" t="s">
        <v>390</v>
      </c>
      <c r="K27" s="548" t="s">
        <v>3187</v>
      </c>
      <c r="L27" s="843" t="s">
        <v>3190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3657</v>
      </c>
      <c r="D28" s="548" t="s">
        <v>3195</v>
      </c>
      <c r="E28" s="550">
        <v>3.45</v>
      </c>
      <c r="F28" s="904" t="s">
        <v>3582</v>
      </c>
      <c r="G28" s="1038" t="s">
        <v>3229</v>
      </c>
      <c r="H28" s="1030" t="s">
        <v>3945</v>
      </c>
      <c r="I28" s="548" t="s">
        <v>3191</v>
      </c>
      <c r="J28" s="843" t="s">
        <v>390</v>
      </c>
      <c r="K28" s="548" t="s">
        <v>3188</v>
      </c>
      <c r="L28" s="843" t="s">
        <v>3190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3674</v>
      </c>
      <c r="D29" s="548" t="s">
        <v>3195</v>
      </c>
      <c r="E29" s="550">
        <v>3.65</v>
      </c>
      <c r="F29" s="904" t="s">
        <v>3581</v>
      </c>
      <c r="G29" s="1038" t="s">
        <v>3229</v>
      </c>
      <c r="H29" s="1030" t="s">
        <v>3945</v>
      </c>
      <c r="I29" s="548" t="s">
        <v>3191</v>
      </c>
      <c r="J29" s="843" t="s">
        <v>390</v>
      </c>
      <c r="K29" s="548" t="s">
        <v>3188</v>
      </c>
      <c r="L29" s="843" t="s">
        <v>3190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3677</v>
      </c>
      <c r="D30" s="548" t="s">
        <v>3289</v>
      </c>
      <c r="E30" s="550">
        <v>5.0999999999999996</v>
      </c>
      <c r="F30" s="904" t="s">
        <v>3345</v>
      </c>
      <c r="G30" s="1038" t="s">
        <v>3229</v>
      </c>
      <c r="H30" s="1030" t="s">
        <v>3946</v>
      </c>
      <c r="I30" s="548" t="s">
        <v>3286</v>
      </c>
      <c r="J30" s="843" t="s">
        <v>3348</v>
      </c>
      <c r="K30" s="548" t="s">
        <v>3188</v>
      </c>
      <c r="L30" s="843" t="s">
        <v>3190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3685</v>
      </c>
      <c r="D31" s="548" t="s">
        <v>3289</v>
      </c>
      <c r="E31" s="550">
        <v>4</v>
      </c>
      <c r="F31" s="904" t="s">
        <v>3581</v>
      </c>
      <c r="G31" s="1038" t="s">
        <v>3229</v>
      </c>
      <c r="H31" s="1030" t="s">
        <v>3946</v>
      </c>
      <c r="I31" s="548" t="s">
        <v>3191</v>
      </c>
      <c r="J31" s="843" t="s">
        <v>3348</v>
      </c>
      <c r="K31" s="548" t="s">
        <v>3188</v>
      </c>
      <c r="L31" s="843" t="s">
        <v>3190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3711</v>
      </c>
      <c r="D32" s="548" t="s">
        <v>3586</v>
      </c>
      <c r="E32" s="550">
        <v>4.3</v>
      </c>
      <c r="F32" s="904" t="s">
        <v>3582</v>
      </c>
      <c r="G32" s="1038" t="s">
        <v>3229</v>
      </c>
      <c r="H32" s="1030" t="s">
        <v>3945</v>
      </c>
      <c r="I32" s="548" t="s">
        <v>3191</v>
      </c>
      <c r="J32" s="843" t="s">
        <v>390</v>
      </c>
      <c r="K32" s="548" t="s">
        <v>3187</v>
      </c>
      <c r="L32" s="843" t="s">
        <v>3198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3708</v>
      </c>
      <c r="D33" s="548" t="s">
        <v>3285</v>
      </c>
      <c r="E33" s="550">
        <v>4.0999999999999996</v>
      </c>
      <c r="F33" s="904" t="s">
        <v>3587</v>
      </c>
      <c r="G33" s="1038" t="s">
        <v>3229</v>
      </c>
      <c r="H33" s="1030" t="s">
        <v>3945</v>
      </c>
      <c r="I33" s="548" t="s">
        <v>3191</v>
      </c>
      <c r="J33" s="843" t="s">
        <v>390</v>
      </c>
      <c r="K33" s="548" t="s">
        <v>3187</v>
      </c>
      <c r="L33" s="843" t="s">
        <v>3198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3701</v>
      </c>
      <c r="D34" s="548" t="s">
        <v>3195</v>
      </c>
      <c r="E34" s="550">
        <v>3.35</v>
      </c>
      <c r="F34" s="904" t="s">
        <v>3345</v>
      </c>
      <c r="G34" s="1038" t="s">
        <v>3229</v>
      </c>
      <c r="H34" s="1030" t="s">
        <v>3945</v>
      </c>
      <c r="I34" s="548" t="s">
        <v>3191</v>
      </c>
      <c r="J34" s="843" t="s">
        <v>390</v>
      </c>
      <c r="K34" s="548" t="s">
        <v>3188</v>
      </c>
      <c r="L34" s="843" t="s">
        <v>3190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3696</v>
      </c>
      <c r="D35" s="548" t="s">
        <v>3586</v>
      </c>
      <c r="E35" s="550">
        <v>6.2</v>
      </c>
      <c r="F35" s="904" t="s">
        <v>3633</v>
      </c>
      <c r="G35" s="1038" t="s">
        <v>3229</v>
      </c>
      <c r="H35" s="1030" t="s">
        <v>3946</v>
      </c>
      <c r="I35" s="548" t="s">
        <v>3286</v>
      </c>
      <c r="J35" s="843" t="s">
        <v>390</v>
      </c>
      <c r="K35" s="548" t="s">
        <v>3187</v>
      </c>
      <c r="L35" s="843" t="s">
        <v>3198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3694</v>
      </c>
      <c r="D36" s="548" t="s">
        <v>3717</v>
      </c>
      <c r="E36" s="550">
        <v>4.2</v>
      </c>
      <c r="F36" s="904" t="s">
        <v>3581</v>
      </c>
      <c r="G36" s="1038" t="s">
        <v>3229</v>
      </c>
      <c r="H36" s="1030" t="s">
        <v>3945</v>
      </c>
      <c r="I36" s="548" t="s">
        <v>3191</v>
      </c>
      <c r="J36" s="843" t="s">
        <v>390</v>
      </c>
      <c r="K36" s="548" t="s">
        <v>3187</v>
      </c>
      <c r="L36" s="843" t="s">
        <v>3198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3689</v>
      </c>
      <c r="D37" s="548" t="s">
        <v>3289</v>
      </c>
      <c r="E37" s="550">
        <v>4.0999999999999996</v>
      </c>
      <c r="F37" s="904" t="s">
        <v>3212</v>
      </c>
      <c r="G37" s="1038" t="s">
        <v>3229</v>
      </c>
      <c r="H37" s="1030" t="s">
        <v>3946</v>
      </c>
      <c r="I37" s="548" t="s">
        <v>3191</v>
      </c>
      <c r="J37" s="843" t="s">
        <v>3348</v>
      </c>
      <c r="K37" s="548" t="s">
        <v>3187</v>
      </c>
      <c r="L37" s="843" t="s">
        <v>3198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3729</v>
      </c>
      <c r="D38" s="548" t="s">
        <v>3289</v>
      </c>
      <c r="E38" s="550">
        <v>3.61</v>
      </c>
      <c r="F38" s="904" t="s">
        <v>3212</v>
      </c>
      <c r="G38" s="1038" t="s">
        <v>3229</v>
      </c>
      <c r="H38" s="1030" t="s">
        <v>3946</v>
      </c>
      <c r="I38" s="548" t="s">
        <v>3191</v>
      </c>
      <c r="J38" s="843" t="s">
        <v>3348</v>
      </c>
      <c r="K38" s="548" t="s">
        <v>3188</v>
      </c>
      <c r="L38" s="843" t="s">
        <v>3190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3727</v>
      </c>
      <c r="D39" s="548" t="s">
        <v>3744</v>
      </c>
      <c r="E39" s="550">
        <v>5.6</v>
      </c>
      <c r="F39" s="904" t="s">
        <v>3581</v>
      </c>
      <c r="G39" s="1038" t="s">
        <v>3229</v>
      </c>
      <c r="H39" s="1030" t="s">
        <v>3946</v>
      </c>
      <c r="I39" s="548" t="s">
        <v>3286</v>
      </c>
      <c r="J39" s="843" t="s">
        <v>390</v>
      </c>
      <c r="K39" s="548" t="s">
        <v>3187</v>
      </c>
      <c r="L39" s="843" t="s">
        <v>3198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3725</v>
      </c>
      <c r="D40" s="548" t="s">
        <v>3744</v>
      </c>
      <c r="E40" s="550">
        <v>4.2</v>
      </c>
      <c r="F40" s="904" t="s">
        <v>3581</v>
      </c>
      <c r="G40" s="1038" t="s">
        <v>3229</v>
      </c>
      <c r="H40" s="1030" t="s">
        <v>3945</v>
      </c>
      <c r="I40" s="548" t="s">
        <v>3191</v>
      </c>
      <c r="J40" s="843" t="s">
        <v>390</v>
      </c>
      <c r="K40" s="548" t="s">
        <v>3187</v>
      </c>
      <c r="L40" s="843" t="s">
        <v>3198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3720</v>
      </c>
      <c r="D41" s="548" t="s">
        <v>3742</v>
      </c>
      <c r="E41" s="550">
        <v>5.8</v>
      </c>
      <c r="F41" s="904" t="s">
        <v>3633</v>
      </c>
      <c r="G41" s="1038" t="s">
        <v>3229</v>
      </c>
      <c r="H41" s="1030" t="s">
        <v>3945</v>
      </c>
      <c r="I41" s="548" t="s">
        <v>3286</v>
      </c>
      <c r="J41" s="843" t="s">
        <v>390</v>
      </c>
      <c r="K41" s="548" t="s">
        <v>3187</v>
      </c>
      <c r="L41" s="843" t="s">
        <v>3198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3748</v>
      </c>
      <c r="D42" s="548" t="s">
        <v>3742</v>
      </c>
      <c r="E42" s="550">
        <v>7.8</v>
      </c>
      <c r="F42" s="904" t="s">
        <v>3581</v>
      </c>
      <c r="G42" s="1038" t="s">
        <v>3229</v>
      </c>
      <c r="H42" s="1030" t="s">
        <v>3946</v>
      </c>
      <c r="I42" s="548" t="s">
        <v>3286</v>
      </c>
      <c r="J42" s="843" t="s">
        <v>390</v>
      </c>
      <c r="K42" s="548" t="s">
        <v>3187</v>
      </c>
      <c r="L42" s="843" t="s">
        <v>3190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3754</v>
      </c>
      <c r="D43" s="548" t="s">
        <v>3765</v>
      </c>
      <c r="E43" s="550">
        <v>5.5</v>
      </c>
      <c r="F43" s="904" t="s">
        <v>3581</v>
      </c>
      <c r="G43" s="1038" t="s">
        <v>3229</v>
      </c>
      <c r="H43" s="1030" t="s">
        <v>3946</v>
      </c>
      <c r="I43" s="548" t="s">
        <v>3191</v>
      </c>
      <c r="J43" s="843" t="s">
        <v>390</v>
      </c>
      <c r="K43" s="548" t="s">
        <v>3188</v>
      </c>
      <c r="L43" s="843" t="s">
        <v>3190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3753</v>
      </c>
      <c r="D44" s="548" t="s">
        <v>3765</v>
      </c>
      <c r="E44" s="550">
        <v>6.4</v>
      </c>
      <c r="F44" s="904" t="s">
        <v>3633</v>
      </c>
      <c r="G44" s="1038" t="s">
        <v>3229</v>
      </c>
      <c r="H44" s="1030" t="s">
        <v>3946</v>
      </c>
      <c r="I44" s="548" t="s">
        <v>3286</v>
      </c>
      <c r="J44" s="843" t="s">
        <v>390</v>
      </c>
      <c r="K44" s="548" t="s">
        <v>3187</v>
      </c>
      <c r="L44" s="843" t="s">
        <v>3190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3773</v>
      </c>
      <c r="D45" s="548" t="s">
        <v>3765</v>
      </c>
      <c r="E45" s="550">
        <v>6.4</v>
      </c>
      <c r="F45" s="904" t="s">
        <v>75</v>
      </c>
      <c r="G45" s="1038" t="s">
        <v>3229</v>
      </c>
      <c r="H45" s="1030" t="s">
        <v>3946</v>
      </c>
      <c r="I45" s="548" t="s">
        <v>3286</v>
      </c>
      <c r="J45" s="843" t="s">
        <v>390</v>
      </c>
      <c r="K45" s="548" t="s">
        <v>3187</v>
      </c>
      <c r="L45" s="843" t="s">
        <v>3190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3768</v>
      </c>
      <c r="D46" s="548" t="s">
        <v>3778</v>
      </c>
      <c r="E46" s="550">
        <v>4.2</v>
      </c>
      <c r="F46" s="904" t="s">
        <v>3212</v>
      </c>
      <c r="G46" s="1038" t="s">
        <v>3229</v>
      </c>
      <c r="H46" s="1030" t="s">
        <v>3946</v>
      </c>
      <c r="I46" s="548" t="s">
        <v>3191</v>
      </c>
      <c r="J46" s="843" t="s">
        <v>390</v>
      </c>
      <c r="K46" s="548" t="s">
        <v>3188</v>
      </c>
      <c r="L46" s="843" t="s">
        <v>3190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3790</v>
      </c>
      <c r="D47" s="548" t="s">
        <v>3795</v>
      </c>
      <c r="E47" s="550">
        <v>5</v>
      </c>
      <c r="F47" s="904" t="s">
        <v>3581</v>
      </c>
      <c r="G47" s="1038" t="s">
        <v>3229</v>
      </c>
      <c r="H47" s="1030" t="s">
        <v>3946</v>
      </c>
      <c r="I47" s="548" t="s">
        <v>3286</v>
      </c>
      <c r="J47" s="843" t="s">
        <v>390</v>
      </c>
      <c r="K47" s="548" t="s">
        <v>3187</v>
      </c>
      <c r="L47" s="843" t="s">
        <v>3190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3787</v>
      </c>
      <c r="D48" s="548" t="s">
        <v>1215</v>
      </c>
      <c r="E48" s="550">
        <v>6</v>
      </c>
      <c r="F48" s="904" t="s">
        <v>3581</v>
      </c>
      <c r="G48" s="1038" t="s">
        <v>3229</v>
      </c>
      <c r="H48" s="1030" t="s">
        <v>3946</v>
      </c>
      <c r="I48" s="548" t="s">
        <v>3191</v>
      </c>
      <c r="J48" s="843" t="s">
        <v>390</v>
      </c>
      <c r="K48" s="548" t="s">
        <v>3187</v>
      </c>
      <c r="L48" s="843" t="s">
        <v>3198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3808</v>
      </c>
      <c r="D49" s="548" t="s">
        <v>3816</v>
      </c>
      <c r="E49" s="550">
        <v>6</v>
      </c>
      <c r="F49" s="904" t="s">
        <v>3212</v>
      </c>
      <c r="G49" s="1038" t="s">
        <v>3229</v>
      </c>
      <c r="H49" s="1030" t="s">
        <v>3946</v>
      </c>
      <c r="I49" s="548" t="s">
        <v>3286</v>
      </c>
      <c r="J49" s="843" t="s">
        <v>390</v>
      </c>
      <c r="K49" s="548" t="s">
        <v>3187</v>
      </c>
      <c r="L49" s="843" t="s">
        <v>3198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3801</v>
      </c>
      <c r="D50" s="548" t="s">
        <v>3195</v>
      </c>
      <c r="E50" s="550">
        <v>3.05</v>
      </c>
      <c r="F50" s="904" t="s">
        <v>3581</v>
      </c>
      <c r="G50" s="1038" t="s">
        <v>3229</v>
      </c>
      <c r="H50" s="1030" t="s">
        <v>3945</v>
      </c>
      <c r="I50" s="548" t="s">
        <v>3191</v>
      </c>
      <c r="J50" s="843" t="s">
        <v>390</v>
      </c>
      <c r="K50" s="548" t="s">
        <v>3188</v>
      </c>
      <c r="L50" s="843" t="s">
        <v>3190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3797</v>
      </c>
      <c r="D51" s="548" t="s">
        <v>3839</v>
      </c>
      <c r="E51" s="550">
        <v>3.65</v>
      </c>
      <c r="F51" s="904" t="s">
        <v>3212</v>
      </c>
      <c r="G51" s="1038" t="s">
        <v>3229</v>
      </c>
      <c r="H51" s="1030" t="s">
        <v>3945</v>
      </c>
      <c r="I51" s="548" t="s">
        <v>3191</v>
      </c>
      <c r="J51" s="843" t="s">
        <v>390</v>
      </c>
      <c r="K51" s="548" t="s">
        <v>3188</v>
      </c>
      <c r="L51" s="843" t="s">
        <v>3198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3834</v>
      </c>
      <c r="D52" s="548" t="s">
        <v>3816</v>
      </c>
      <c r="E52" s="550">
        <v>5.4</v>
      </c>
      <c r="F52" s="904" t="s">
        <v>75</v>
      </c>
      <c r="G52" s="1038" t="s">
        <v>3229</v>
      </c>
      <c r="H52" s="1030" t="s">
        <v>3946</v>
      </c>
      <c r="I52" s="548" t="s">
        <v>3286</v>
      </c>
      <c r="J52" s="843" t="s">
        <v>390</v>
      </c>
      <c r="K52" s="548" t="s">
        <v>3187</v>
      </c>
      <c r="L52" s="843" t="s">
        <v>3198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3831</v>
      </c>
      <c r="D53" s="548" t="s">
        <v>3744</v>
      </c>
      <c r="E53" s="550">
        <v>4.4000000000000004</v>
      </c>
      <c r="F53" s="904" t="s">
        <v>3633</v>
      </c>
      <c r="G53" s="1038" t="s">
        <v>3229</v>
      </c>
      <c r="H53" s="1030" t="s">
        <v>3945</v>
      </c>
      <c r="I53" s="548" t="s">
        <v>3191</v>
      </c>
      <c r="J53" s="843" t="s">
        <v>390</v>
      </c>
      <c r="K53" s="548" t="s">
        <v>3187</v>
      </c>
      <c r="L53" s="843" t="s">
        <v>3198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3827</v>
      </c>
      <c r="D54" s="548" t="s">
        <v>3717</v>
      </c>
      <c r="E54" s="550">
        <v>6.8</v>
      </c>
      <c r="F54" s="904" t="s">
        <v>3633</v>
      </c>
      <c r="G54" s="1038" t="s">
        <v>3229</v>
      </c>
      <c r="H54" s="1030" t="s">
        <v>3946</v>
      </c>
      <c r="I54" s="548" t="s">
        <v>3286</v>
      </c>
      <c r="J54" s="843" t="s">
        <v>390</v>
      </c>
      <c r="K54" s="548" t="s">
        <v>3187</v>
      </c>
      <c r="L54" s="843" t="s">
        <v>3198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3825</v>
      </c>
      <c r="D55" s="548" t="s">
        <v>3717</v>
      </c>
      <c r="E55" s="550">
        <v>4.3</v>
      </c>
      <c r="F55" s="904" t="s">
        <v>3345</v>
      </c>
      <c r="G55" s="1038" t="s">
        <v>3229</v>
      </c>
      <c r="H55" s="1030" t="s">
        <v>3945</v>
      </c>
      <c r="I55" s="548" t="s">
        <v>3191</v>
      </c>
      <c r="J55" s="843" t="s">
        <v>390</v>
      </c>
      <c r="K55" s="548" t="s">
        <v>3187</v>
      </c>
      <c r="L55" s="843" t="s">
        <v>3198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3822</v>
      </c>
      <c r="D56" s="548" t="s">
        <v>3195</v>
      </c>
      <c r="E56" s="550">
        <v>3.4</v>
      </c>
      <c r="F56" s="904" t="s">
        <v>3581</v>
      </c>
      <c r="G56" s="1038" t="s">
        <v>3229</v>
      </c>
      <c r="H56" s="1030" t="s">
        <v>3946</v>
      </c>
      <c r="I56" s="548" t="s">
        <v>3191</v>
      </c>
      <c r="J56" s="843" t="s">
        <v>390</v>
      </c>
      <c r="K56" s="548" t="s">
        <v>3188</v>
      </c>
      <c r="L56" s="843" t="s">
        <v>3190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3820</v>
      </c>
      <c r="D57" s="548" t="s">
        <v>3195</v>
      </c>
      <c r="E57" s="550">
        <v>3.25</v>
      </c>
      <c r="F57" s="904" t="s">
        <v>75</v>
      </c>
      <c r="G57" s="1038" t="s">
        <v>3229</v>
      </c>
      <c r="H57" s="1030" t="s">
        <v>3945</v>
      </c>
      <c r="I57" s="548" t="s">
        <v>3191</v>
      </c>
      <c r="J57" s="843" t="s">
        <v>390</v>
      </c>
      <c r="K57" s="548" t="s">
        <v>3188</v>
      </c>
      <c r="L57" s="843" t="s">
        <v>3190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3841</v>
      </c>
      <c r="D58" s="548" t="s">
        <v>3744</v>
      </c>
      <c r="E58" s="550">
        <v>7.8</v>
      </c>
      <c r="F58" s="904" t="s">
        <v>3581</v>
      </c>
      <c r="G58" s="1038" t="s">
        <v>3229</v>
      </c>
      <c r="H58" s="1030" t="s">
        <v>3946</v>
      </c>
      <c r="I58" s="548" t="s">
        <v>3286</v>
      </c>
      <c r="J58" s="843" t="s">
        <v>390</v>
      </c>
      <c r="K58" s="548" t="s">
        <v>3187</v>
      </c>
      <c r="L58" s="843" t="s">
        <v>3190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3840</v>
      </c>
      <c r="D59" s="548" t="s">
        <v>3860</v>
      </c>
      <c r="E59" s="550">
        <v>5.2</v>
      </c>
      <c r="F59" s="904" t="s">
        <v>3633</v>
      </c>
      <c r="G59" s="1038" t="s">
        <v>3229</v>
      </c>
      <c r="H59" s="1030" t="s">
        <v>3946</v>
      </c>
      <c r="I59" s="548" t="s">
        <v>3191</v>
      </c>
      <c r="J59" s="843" t="s">
        <v>390</v>
      </c>
      <c r="K59" s="548" t="s">
        <v>3187</v>
      </c>
      <c r="L59" s="843" t="s">
        <v>3190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3842</v>
      </c>
      <c r="D60" s="548" t="s">
        <v>3861</v>
      </c>
      <c r="E60" s="550">
        <v>5.7</v>
      </c>
      <c r="F60" s="904" t="s">
        <v>16</v>
      </c>
      <c r="G60" s="1038" t="s">
        <v>3229</v>
      </c>
      <c r="H60" s="1030" t="s">
        <v>3946</v>
      </c>
      <c r="I60" s="548" t="s">
        <v>3286</v>
      </c>
      <c r="J60" s="843" t="s">
        <v>390</v>
      </c>
      <c r="K60" s="548" t="s">
        <v>3187</v>
      </c>
      <c r="L60" s="843" t="s">
        <v>3198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3847</v>
      </c>
      <c r="D61" s="548" t="s">
        <v>3862</v>
      </c>
      <c r="E61" s="550">
        <v>3.9</v>
      </c>
      <c r="F61" s="904" t="s">
        <v>3212</v>
      </c>
      <c r="G61" s="1038" t="s">
        <v>3229</v>
      </c>
      <c r="H61" s="1030" t="s">
        <v>3946</v>
      </c>
      <c r="I61" s="548" t="s">
        <v>3191</v>
      </c>
      <c r="J61" s="843" t="s">
        <v>390</v>
      </c>
      <c r="K61" s="548" t="s">
        <v>3188</v>
      </c>
      <c r="L61" s="843" t="s">
        <v>3190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3846</v>
      </c>
      <c r="D62" s="548" t="s">
        <v>3744</v>
      </c>
      <c r="E62" s="550">
        <v>5</v>
      </c>
      <c r="F62" s="904" t="s">
        <v>3581</v>
      </c>
      <c r="G62" s="1038" t="s">
        <v>3229</v>
      </c>
      <c r="H62" s="1030" t="s">
        <v>3946</v>
      </c>
      <c r="I62" s="548" t="s">
        <v>3191</v>
      </c>
      <c r="J62" s="843" t="s">
        <v>390</v>
      </c>
      <c r="K62" s="548" t="s">
        <v>3187</v>
      </c>
      <c r="L62" s="843" t="s">
        <v>3198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3856</v>
      </c>
      <c r="D63" s="548" t="s">
        <v>3744</v>
      </c>
      <c r="E63" s="550">
        <v>3.6</v>
      </c>
      <c r="F63" s="904" t="s">
        <v>3581</v>
      </c>
      <c r="G63" s="1038" t="s">
        <v>3229</v>
      </c>
      <c r="H63" s="1030" t="s">
        <v>3945</v>
      </c>
      <c r="I63" s="548" t="s">
        <v>3191</v>
      </c>
      <c r="J63" s="843" t="s">
        <v>390</v>
      </c>
      <c r="K63" s="548" t="s">
        <v>3187</v>
      </c>
      <c r="L63" s="843" t="s">
        <v>3198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3901</v>
      </c>
      <c r="D64" s="548" t="s">
        <v>3902</v>
      </c>
      <c r="E64" s="550">
        <v>6.2</v>
      </c>
      <c r="F64" s="904" t="s">
        <v>3633</v>
      </c>
      <c r="G64" s="1038" t="s">
        <v>3229</v>
      </c>
      <c r="H64" s="1030" t="s">
        <v>3946</v>
      </c>
      <c r="I64" s="548" t="s">
        <v>3286</v>
      </c>
      <c r="J64" s="843" t="s">
        <v>390</v>
      </c>
      <c r="K64" s="548" t="s">
        <v>3187</v>
      </c>
      <c r="L64" s="843" t="s">
        <v>3198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3918</v>
      </c>
      <c r="D65" s="548" t="s">
        <v>3195</v>
      </c>
      <c r="E65" s="550">
        <v>5.5</v>
      </c>
      <c r="F65" s="904" t="s">
        <v>3587</v>
      </c>
      <c r="G65" s="1038" t="s">
        <v>3229</v>
      </c>
      <c r="H65" s="1030" t="s">
        <v>3946</v>
      </c>
      <c r="I65" s="548" t="s">
        <v>3286</v>
      </c>
      <c r="J65" s="843" t="s">
        <v>390</v>
      </c>
      <c r="K65" s="548" t="s">
        <v>3188</v>
      </c>
      <c r="L65" s="843" t="s">
        <v>3190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3916</v>
      </c>
      <c r="D66" s="548" t="s">
        <v>3923</v>
      </c>
      <c r="E66" s="550">
        <v>3.95</v>
      </c>
      <c r="F66" s="904" t="s">
        <v>75</v>
      </c>
      <c r="G66" s="1038" t="s">
        <v>3229</v>
      </c>
      <c r="H66" s="1030" t="s">
        <v>3945</v>
      </c>
      <c r="I66" s="548" t="s">
        <v>3191</v>
      </c>
      <c r="J66" s="843" t="s">
        <v>390</v>
      </c>
      <c r="K66" s="548" t="s">
        <v>3187</v>
      </c>
      <c r="L66" s="843" t="s">
        <v>3198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3907</v>
      </c>
      <c r="D67" s="548" t="s">
        <v>3923</v>
      </c>
      <c r="E67" s="550">
        <v>3.75</v>
      </c>
      <c r="F67" s="904" t="s">
        <v>3581</v>
      </c>
      <c r="G67" s="1038" t="s">
        <v>3229</v>
      </c>
      <c r="H67" s="1030" t="s">
        <v>3945</v>
      </c>
      <c r="I67" s="548" t="s">
        <v>3191</v>
      </c>
      <c r="J67" s="843" t="s">
        <v>390</v>
      </c>
      <c r="K67" s="548" t="s">
        <v>3187</v>
      </c>
      <c r="L67" s="843" t="s">
        <v>3198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3963</v>
      </c>
      <c r="D68" s="548" t="s">
        <v>3923</v>
      </c>
      <c r="E68" s="550">
        <v>4.9000000000000004</v>
      </c>
      <c r="F68" s="904" t="s">
        <v>3345</v>
      </c>
      <c r="G68" s="1038" t="s">
        <v>3229</v>
      </c>
      <c r="H68" s="1030" t="s">
        <v>3946</v>
      </c>
      <c r="I68" s="548" t="s">
        <v>3191</v>
      </c>
      <c r="J68" s="843" t="s">
        <v>390</v>
      </c>
      <c r="K68" s="548" t="s">
        <v>3187</v>
      </c>
      <c r="L68" s="843" t="s">
        <v>3198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3960</v>
      </c>
      <c r="D69" s="548" t="s">
        <v>3839</v>
      </c>
      <c r="E69" s="550">
        <v>4.4000000000000004</v>
      </c>
      <c r="F69" s="904" t="s">
        <v>3581</v>
      </c>
      <c r="G69" s="1038" t="s">
        <v>3229</v>
      </c>
      <c r="H69" s="1030" t="s">
        <v>3946</v>
      </c>
      <c r="I69" s="548" t="s">
        <v>3191</v>
      </c>
      <c r="J69" s="843" t="s">
        <v>390</v>
      </c>
      <c r="K69" s="548" t="s">
        <v>3188</v>
      </c>
      <c r="L69" s="843" t="s">
        <v>3190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3956</v>
      </c>
      <c r="D70" s="548" t="s">
        <v>3839</v>
      </c>
      <c r="E70" s="550">
        <v>3.9</v>
      </c>
      <c r="F70" s="904" t="s">
        <v>75</v>
      </c>
      <c r="G70" s="1039" t="s">
        <v>3971</v>
      </c>
      <c r="H70" s="1030" t="s">
        <v>3945</v>
      </c>
      <c r="I70" s="548" t="s">
        <v>3191</v>
      </c>
      <c r="J70" s="843" t="s">
        <v>390</v>
      </c>
      <c r="K70" s="548" t="s">
        <v>3187</v>
      </c>
      <c r="L70" s="843" t="s">
        <v>3198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3951</v>
      </c>
      <c r="D71" s="548" t="s">
        <v>3778</v>
      </c>
      <c r="E71" s="550">
        <v>3.7</v>
      </c>
      <c r="F71" s="904" t="s">
        <v>3212</v>
      </c>
      <c r="G71" s="1038" t="s">
        <v>3969</v>
      </c>
      <c r="H71" s="1030"/>
      <c r="I71" s="548" t="s">
        <v>3191</v>
      </c>
      <c r="J71" s="843" t="s">
        <v>390</v>
      </c>
      <c r="K71" s="548" t="s">
        <v>3188</v>
      </c>
      <c r="L71" s="843" t="s">
        <v>3198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3977</v>
      </c>
      <c r="D72" s="548" t="s">
        <v>3989</v>
      </c>
      <c r="E72" s="550">
        <v>3.1</v>
      </c>
      <c r="F72" s="904" t="s">
        <v>16</v>
      </c>
      <c r="G72" s="1038" t="s">
        <v>3969</v>
      </c>
      <c r="H72" s="1030"/>
      <c r="I72" s="548" t="s">
        <v>3191</v>
      </c>
      <c r="J72" s="843" t="s">
        <v>390</v>
      </c>
      <c r="K72" s="548" t="s">
        <v>3188</v>
      </c>
      <c r="L72" s="843" t="s">
        <v>3190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3988</v>
      </c>
      <c r="D73" s="548" t="s">
        <v>3287</v>
      </c>
      <c r="E73" s="550">
        <v>4.8</v>
      </c>
      <c r="F73" s="904" t="s">
        <v>3581</v>
      </c>
      <c r="G73" s="1038" t="s">
        <v>3969</v>
      </c>
      <c r="H73" s="1030"/>
      <c r="I73" s="548" t="s">
        <v>3191</v>
      </c>
      <c r="J73" s="843" t="s">
        <v>390</v>
      </c>
      <c r="K73" s="548" t="s">
        <v>3187</v>
      </c>
      <c r="L73" s="843" t="s">
        <v>3198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2994</v>
      </c>
      <c r="E2" s="492">
        <v>1500</v>
      </c>
      <c r="G2" s="489" t="s">
        <v>2996</v>
      </c>
      <c r="H2" s="396">
        <f>E2*E3</f>
        <v>22.5</v>
      </c>
      <c r="J2" s="489" t="s">
        <v>3001</v>
      </c>
      <c r="K2" s="394">
        <f>COUNTA(betflow[Data])</f>
        <v>241</v>
      </c>
    </row>
    <row r="3" spans="2:16" ht="19.95" customHeight="1">
      <c r="D3" s="489" t="s">
        <v>2995</v>
      </c>
      <c r="E3" s="490">
        <v>1.4999999999999999E-2</v>
      </c>
      <c r="G3" s="489" t="s">
        <v>2997</v>
      </c>
      <c r="H3" s="396">
        <f>H2*E5</f>
        <v>13.684329984249661</v>
      </c>
      <c r="J3" s="489" t="s">
        <v>3000</v>
      </c>
      <c r="K3" s="394">
        <f ca="1">_xlfn.DAYS(TODAY()-1,B8)</f>
        <v>131</v>
      </c>
    </row>
    <row r="4" spans="2:16" ht="19.95" customHeight="1">
      <c r="D4" s="489" t="s">
        <v>81</v>
      </c>
      <c r="E4" s="493">
        <v>0.01</v>
      </c>
      <c r="G4" s="489" t="s">
        <v>2999</v>
      </c>
      <c r="H4" s="396">
        <f>SUM(H2:H3)</f>
        <v>36.184329984249658</v>
      </c>
      <c r="J4" s="489" t="s">
        <v>3002</v>
      </c>
      <c r="K4" s="396">
        <f ca="1">K2/K3</f>
        <v>1.8396946564885497</v>
      </c>
    </row>
    <row r="5" spans="2:16" ht="19.95" customHeight="1">
      <c r="D5" s="489" t="s">
        <v>2998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3003</v>
      </c>
      <c r="K5" s="396">
        <f ca="1">K4*30*H5</f>
        <v>19.970435556192751</v>
      </c>
    </row>
    <row r="7" spans="2:16" ht="30" customHeight="1">
      <c r="B7" s="399" t="s">
        <v>0</v>
      </c>
      <c r="C7" s="399" t="s">
        <v>1</v>
      </c>
      <c r="D7" s="399" t="s">
        <v>1793</v>
      </c>
      <c r="E7" s="399" t="s">
        <v>1794</v>
      </c>
      <c r="F7" s="399" t="s">
        <v>79</v>
      </c>
      <c r="G7" s="399" t="s">
        <v>1791</v>
      </c>
      <c r="H7" s="399" t="s">
        <v>1796</v>
      </c>
      <c r="I7" s="399" t="s">
        <v>1792</v>
      </c>
      <c r="J7" s="399" t="s">
        <v>1797</v>
      </c>
      <c r="K7" s="399" t="s">
        <v>1798</v>
      </c>
      <c r="L7" s="399" t="s">
        <v>1799</v>
      </c>
      <c r="M7" s="399" t="s">
        <v>1801</v>
      </c>
      <c r="N7" s="399" t="s">
        <v>262</v>
      </c>
      <c r="O7" s="399" t="s">
        <v>81</v>
      </c>
      <c r="P7" s="399" t="s">
        <v>1800</v>
      </c>
    </row>
    <row r="8" spans="2:16" ht="19.95" customHeight="1">
      <c r="B8" s="395">
        <v>46140</v>
      </c>
      <c r="C8" s="394" t="s">
        <v>1789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1790</v>
      </c>
      <c r="I8" s="394" t="s">
        <v>1795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1787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1788</v>
      </c>
      <c r="I9" s="394" t="s">
        <v>1795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1819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1790</v>
      </c>
      <c r="I10" s="394" t="s">
        <v>1795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1820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1790</v>
      </c>
      <c r="I11" s="394" t="s">
        <v>1795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1821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1788</v>
      </c>
      <c r="I12" s="394" t="s">
        <v>1795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1822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1790</v>
      </c>
      <c r="I13" s="394" t="s">
        <v>1795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1823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1788</v>
      </c>
      <c r="I14" s="394" t="s">
        <v>1795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1824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1790</v>
      </c>
      <c r="I15" s="394" t="s">
        <v>1795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1823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1790</v>
      </c>
      <c r="I16" s="394" t="s">
        <v>1795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1825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1790</v>
      </c>
      <c r="I17" s="394" t="s">
        <v>1795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1826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1790</v>
      </c>
      <c r="I18" s="394" t="s">
        <v>1795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1827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1788</v>
      </c>
      <c r="I19" s="394" t="s">
        <v>1795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1828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1790</v>
      </c>
      <c r="I20" s="394" t="s">
        <v>1795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1829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1790</v>
      </c>
      <c r="I21" s="394" t="s">
        <v>1795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1830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1790</v>
      </c>
      <c r="I22" s="394" t="s">
        <v>1795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1828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1790</v>
      </c>
      <c r="I23" s="394" t="s">
        <v>1795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1831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1788</v>
      </c>
      <c r="I24" s="394" t="s">
        <v>1795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1831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1790</v>
      </c>
      <c r="I25" s="394" t="s">
        <v>1795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1832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1788</v>
      </c>
      <c r="I26" s="394" t="s">
        <v>1795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1833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1790</v>
      </c>
      <c r="I27" s="394" t="s">
        <v>1795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1834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1788</v>
      </c>
      <c r="I28" s="394" t="s">
        <v>1795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1835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1788</v>
      </c>
      <c r="I29" s="394" t="s">
        <v>1795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1834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1790</v>
      </c>
      <c r="I30" s="394" t="s">
        <v>1795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1836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1788</v>
      </c>
      <c r="I31" s="394" t="s">
        <v>1795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1837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1788</v>
      </c>
      <c r="I32" s="394" t="s">
        <v>1795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1838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1788</v>
      </c>
      <c r="I33" s="394" t="s">
        <v>1795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1839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1788</v>
      </c>
      <c r="I34" s="394" t="s">
        <v>1795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1840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1790</v>
      </c>
      <c r="I35" s="394" t="s">
        <v>1795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1841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1790</v>
      </c>
      <c r="I36" s="394" t="s">
        <v>1795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1842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1788</v>
      </c>
      <c r="I37" s="394" t="s">
        <v>1795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1843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1788</v>
      </c>
      <c r="I38" s="394" t="s">
        <v>1795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1844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1788</v>
      </c>
      <c r="I39" s="394" t="s">
        <v>1795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1845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1790</v>
      </c>
      <c r="I40" s="394" t="s">
        <v>1795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1846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1790</v>
      </c>
      <c r="I41" s="394" t="s">
        <v>1795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1847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1788</v>
      </c>
      <c r="I42" s="394" t="s">
        <v>1795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1848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1790</v>
      </c>
      <c r="I43" s="394" t="s">
        <v>1795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1903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1790</v>
      </c>
      <c r="I44" s="394" t="s">
        <v>1795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1902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1788</v>
      </c>
      <c r="I45" s="394" t="s">
        <v>1795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1901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1790</v>
      </c>
      <c r="I46" s="394" t="s">
        <v>1795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1900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1788</v>
      </c>
      <c r="I47" s="394" t="s">
        <v>1795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1899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1788</v>
      </c>
      <c r="I48" s="394" t="s">
        <v>1795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1898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1788</v>
      </c>
      <c r="I49" s="394" t="s">
        <v>1795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1897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1790</v>
      </c>
      <c r="I50" s="394" t="s">
        <v>1795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1896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1790</v>
      </c>
      <c r="I51" s="394" t="s">
        <v>1795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1895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1790</v>
      </c>
      <c r="I52" s="394" t="s">
        <v>1795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1894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1788</v>
      </c>
      <c r="I53" s="394" t="s">
        <v>1795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1893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1790</v>
      </c>
      <c r="I54" s="394" t="s">
        <v>1795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1892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1790</v>
      </c>
      <c r="I55" s="394" t="s">
        <v>1795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1891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1790</v>
      </c>
      <c r="I56" s="394" t="s">
        <v>1795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1890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1790</v>
      </c>
      <c r="I57" s="394" t="s">
        <v>1795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1889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1790</v>
      </c>
      <c r="I58" s="394" t="s">
        <v>1795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1888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1790</v>
      </c>
      <c r="I59" s="394" t="s">
        <v>1795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1887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1790</v>
      </c>
      <c r="I60" s="394" t="s">
        <v>1795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1886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1790</v>
      </c>
      <c r="I61" s="394" t="s">
        <v>1795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1885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1788</v>
      </c>
      <c r="I62" s="394" t="s">
        <v>1795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1884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1788</v>
      </c>
      <c r="I63" s="394" t="s">
        <v>1795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1883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1790</v>
      </c>
      <c r="I64" s="394" t="s">
        <v>1795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1847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1788</v>
      </c>
      <c r="I65" s="394" t="s">
        <v>1795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1882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1790</v>
      </c>
      <c r="I66" s="394" t="s">
        <v>1795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1881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1790</v>
      </c>
      <c r="I67" s="394" t="s">
        <v>1795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1880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1788</v>
      </c>
      <c r="I68" s="394" t="s">
        <v>1795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1879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1790</v>
      </c>
      <c r="I69" s="394" t="s">
        <v>1795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1878</v>
      </c>
      <c r="D70" s="397"/>
      <c r="E70" s="396"/>
      <c r="F70" s="396"/>
      <c r="H70" s="406"/>
      <c r="I70" s="394" t="s">
        <v>1795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1877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1790</v>
      </c>
      <c r="I71" s="394" t="s">
        <v>1795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1876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1790</v>
      </c>
      <c r="I72" s="394" t="s">
        <v>1795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1875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1790</v>
      </c>
      <c r="I73" s="394" t="s">
        <v>1795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1874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1788</v>
      </c>
      <c r="I74" s="394" t="s">
        <v>1795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1873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1790</v>
      </c>
      <c r="I75" s="394" t="s">
        <v>1795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1872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1790</v>
      </c>
      <c r="I76" s="394" t="s">
        <v>1795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1871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1790</v>
      </c>
      <c r="I77" s="394" t="s">
        <v>1795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1870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1788</v>
      </c>
      <c r="I78" s="394" t="s">
        <v>1795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1869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1790</v>
      </c>
      <c r="I79" s="394" t="s">
        <v>1795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1868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1790</v>
      </c>
      <c r="I80" s="394" t="s">
        <v>1795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1867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1788</v>
      </c>
      <c r="I81" s="394" t="s">
        <v>1795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1866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1790</v>
      </c>
      <c r="I82" s="394" t="s">
        <v>1795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1865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1788</v>
      </c>
      <c r="I83" s="394" t="s">
        <v>1795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1864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1788</v>
      </c>
      <c r="I84" s="394" t="s">
        <v>1795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1863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1790</v>
      </c>
      <c r="I85" s="394" t="s">
        <v>1795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1862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1788</v>
      </c>
      <c r="I86" s="394" t="s">
        <v>1795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1861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1790</v>
      </c>
      <c r="I87" s="394" t="s">
        <v>1795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1860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1788</v>
      </c>
      <c r="I88" s="394" t="s">
        <v>1795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1859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1790</v>
      </c>
      <c r="I89" s="394" t="s">
        <v>1795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1858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1790</v>
      </c>
      <c r="I90" s="394" t="s">
        <v>1795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1857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1790</v>
      </c>
      <c r="I91" s="394" t="s">
        <v>1795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1856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1790</v>
      </c>
      <c r="I92" s="394" t="s">
        <v>1795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1855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1788</v>
      </c>
      <c r="I93" s="394" t="s">
        <v>1795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1854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1788</v>
      </c>
      <c r="I94" s="394" t="s">
        <v>1795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1853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1788</v>
      </c>
      <c r="I95" s="394" t="s">
        <v>1795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1852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1788</v>
      </c>
      <c r="I96" s="394" t="s">
        <v>1795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1851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1790</v>
      </c>
      <c r="I97" s="394" t="s">
        <v>1795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1850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1788</v>
      </c>
      <c r="I98" s="394" t="s">
        <v>1795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1849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1788</v>
      </c>
      <c r="I99" s="394" t="s">
        <v>1795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2296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1790</v>
      </c>
      <c r="I100" s="394" t="s">
        <v>1795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2279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1788</v>
      </c>
      <c r="I101" s="394" t="s">
        <v>1795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2305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1788</v>
      </c>
      <c r="I102" s="394" t="s">
        <v>1795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2304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1788</v>
      </c>
      <c r="I103" s="394" t="s">
        <v>1795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2274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1788</v>
      </c>
      <c r="I104" s="394" t="s">
        <v>1795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2303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1790</v>
      </c>
      <c r="I105" s="394" t="s">
        <v>1795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2340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1790</v>
      </c>
      <c r="I106" s="394" t="s">
        <v>1795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2331</v>
      </c>
      <c r="D107" s="397"/>
      <c r="E107" s="396"/>
      <c r="F107" s="396"/>
      <c r="G107" s="396"/>
      <c r="H107" s="412" t="s">
        <v>1790</v>
      </c>
      <c r="I107" s="394" t="s">
        <v>1795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2339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1790</v>
      </c>
      <c r="I108" s="394" t="s">
        <v>1795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2338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1788</v>
      </c>
      <c r="I109" s="394" t="s">
        <v>1795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2337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1790</v>
      </c>
      <c r="I110" s="394" t="s">
        <v>1795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2336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1788</v>
      </c>
      <c r="I111" s="394" t="s">
        <v>1795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2335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1788</v>
      </c>
      <c r="I112" s="394" t="s">
        <v>1795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2334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1788</v>
      </c>
      <c r="I113" s="394" t="s">
        <v>1795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2403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1790</v>
      </c>
      <c r="I114" s="394" t="s">
        <v>1795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2402</v>
      </c>
      <c r="D115" s="397"/>
      <c r="E115" s="396"/>
      <c r="F115" s="396"/>
      <c r="G115" s="396"/>
      <c r="H115" s="419" t="s">
        <v>1788</v>
      </c>
      <c r="I115" s="394" t="s">
        <v>1795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2376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1788</v>
      </c>
      <c r="I116" s="394" t="s">
        <v>1795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2401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1788</v>
      </c>
      <c r="I117" s="394" t="s">
        <v>1795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2400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1788</v>
      </c>
      <c r="I118" s="394" t="s">
        <v>1795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2399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1790</v>
      </c>
      <c r="I119" s="394" t="s">
        <v>1795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2398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1788</v>
      </c>
      <c r="I120" s="394" t="s">
        <v>1795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2397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1788</v>
      </c>
      <c r="I121" s="394" t="s">
        <v>1795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2396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1790</v>
      </c>
      <c r="I122" s="394" t="s">
        <v>1795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2423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1790</v>
      </c>
      <c r="I123" s="394" t="s">
        <v>1795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2422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1788</v>
      </c>
      <c r="I124" s="394" t="s">
        <v>1795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2421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1788</v>
      </c>
      <c r="I125" s="394" t="s">
        <v>1795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2450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1790</v>
      </c>
      <c r="I126" s="394" t="s">
        <v>1795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2449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1788</v>
      </c>
      <c r="I127" s="394" t="s">
        <v>1795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2448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1788</v>
      </c>
      <c r="I128" s="394" t="s">
        <v>1795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2447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1790</v>
      </c>
      <c r="I129" s="394" t="s">
        <v>1795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2553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1788</v>
      </c>
      <c r="I130" s="394" t="s">
        <v>1795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2552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1788</v>
      </c>
      <c r="I131" s="394" t="s">
        <v>1795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2551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1788</v>
      </c>
      <c r="I132" s="394" t="s">
        <v>1795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2509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1788</v>
      </c>
      <c r="I133" s="394" t="s">
        <v>1795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2550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1788</v>
      </c>
      <c r="I134" s="394" t="s">
        <v>1795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2549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1788</v>
      </c>
      <c r="I135" s="394" t="s">
        <v>1795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2548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1790</v>
      </c>
      <c r="I136" s="394" t="s">
        <v>1795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2547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1790</v>
      </c>
      <c r="I137" s="394" t="s">
        <v>1795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2546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1790</v>
      </c>
      <c r="I138" s="394" t="s">
        <v>1795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2545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1788</v>
      </c>
      <c r="I139" s="394" t="s">
        <v>1795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2544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1788</v>
      </c>
      <c r="I140" s="394" t="s">
        <v>1795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2543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1788</v>
      </c>
      <c r="I141" s="394" t="s">
        <v>1795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2542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1790</v>
      </c>
      <c r="I142" s="394" t="s">
        <v>1795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2541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1790</v>
      </c>
      <c r="I143" s="394" t="s">
        <v>1795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2540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1790</v>
      </c>
      <c r="I144" s="394" t="s">
        <v>1795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2539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1790</v>
      </c>
      <c r="I145" s="394" t="s">
        <v>1795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2538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1788</v>
      </c>
      <c r="I146" s="394" t="s">
        <v>1795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2537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1788</v>
      </c>
      <c r="I147" s="394" t="s">
        <v>1795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2536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1790</v>
      </c>
      <c r="I148" s="394" t="s">
        <v>1795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2535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1788</v>
      </c>
      <c r="I149" s="394" t="s">
        <v>1795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2534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1788</v>
      </c>
      <c r="I150" s="394" t="s">
        <v>1795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2473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1788</v>
      </c>
      <c r="I151" s="394" t="s">
        <v>1795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2622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1790</v>
      </c>
      <c r="I152" s="394" t="s">
        <v>1795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2621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1788</v>
      </c>
      <c r="I153" s="394" t="s">
        <v>1795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2620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1790</v>
      </c>
      <c r="I154" s="394" t="s">
        <v>1795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2696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1788</v>
      </c>
      <c r="I155" s="394" t="s">
        <v>1795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2695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1788</v>
      </c>
      <c r="I156" s="394" t="s">
        <v>1795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2694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1788</v>
      </c>
      <c r="I157" s="394" t="s">
        <v>1795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2693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1790</v>
      </c>
      <c r="I158" s="394" t="s">
        <v>1795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2692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1788</v>
      </c>
      <c r="I159" s="394" t="s">
        <v>1795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2786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1788</v>
      </c>
      <c r="I160" s="394" t="s">
        <v>1795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2854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1790</v>
      </c>
      <c r="I161" s="394" t="s">
        <v>1795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2853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1790</v>
      </c>
      <c r="I162" s="394" t="s">
        <v>1795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2852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1790</v>
      </c>
      <c r="I163" s="394" t="s">
        <v>1795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2851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1790</v>
      </c>
      <c r="I164" s="394" t="s">
        <v>1795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2850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1790</v>
      </c>
      <c r="I165" s="394" t="s">
        <v>1795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2841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1790</v>
      </c>
      <c r="I166" s="394" t="s">
        <v>1795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2927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1788</v>
      </c>
      <c r="I167" s="394" t="s">
        <v>1795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2926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1788</v>
      </c>
      <c r="I168" s="394" t="s">
        <v>1795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2925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1790</v>
      </c>
      <c r="I169" s="394" t="s">
        <v>1795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2924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1788</v>
      </c>
      <c r="I170" s="394" t="s">
        <v>1795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2898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1790</v>
      </c>
      <c r="I171" s="394" t="s">
        <v>1795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2923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1790</v>
      </c>
      <c r="I172" s="394" t="s">
        <v>1795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2922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1790</v>
      </c>
      <c r="I173" s="394" t="s">
        <v>1795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2921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1790</v>
      </c>
      <c r="I174" s="394" t="s">
        <v>1795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2920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1790</v>
      </c>
      <c r="I175" s="394" t="s">
        <v>1795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2987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1790</v>
      </c>
      <c r="I176" s="394" t="s">
        <v>1795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2986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1790</v>
      </c>
      <c r="I177" s="394" t="s">
        <v>1795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2961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1790</v>
      </c>
      <c r="I178" s="394" t="s">
        <v>1795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2985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1790</v>
      </c>
      <c r="I179" s="394" t="s">
        <v>1795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3023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1790</v>
      </c>
      <c r="I180" s="394" t="s">
        <v>1795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3022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1790</v>
      </c>
      <c r="I181" s="394" t="s">
        <v>1795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3031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1790</v>
      </c>
      <c r="I182" s="394" t="s">
        <v>1795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3030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1790</v>
      </c>
      <c r="I183" s="394" t="s">
        <v>1795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3039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1790</v>
      </c>
      <c r="I184" s="394" t="s">
        <v>1795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3038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1790</v>
      </c>
      <c r="I185" s="394" t="s">
        <v>1795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3037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1790</v>
      </c>
      <c r="I186" s="394" t="s">
        <v>1795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3036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1790</v>
      </c>
      <c r="I187" s="394" t="s">
        <v>1795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3035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1788</v>
      </c>
      <c r="I188" s="394" t="s">
        <v>1795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3034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1790</v>
      </c>
      <c r="I189" s="394" t="s">
        <v>1795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3049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1788</v>
      </c>
      <c r="I190" s="394" t="s">
        <v>1795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3044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1790</v>
      </c>
      <c r="I191" s="394" t="s">
        <v>1795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3048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1790</v>
      </c>
      <c r="I192" s="394" t="s">
        <v>1795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3090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1790</v>
      </c>
      <c r="I193" s="394" t="s">
        <v>1795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3089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1790</v>
      </c>
      <c r="I194" s="394" t="s">
        <v>1795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3088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1790</v>
      </c>
      <c r="I195" s="394" t="s">
        <v>1795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3076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1790</v>
      </c>
      <c r="I196" s="394" t="s">
        <v>1795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3087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1788</v>
      </c>
      <c r="I197" s="394" t="s">
        <v>1795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3086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1790</v>
      </c>
      <c r="I198" s="394" t="s">
        <v>1795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3135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1790</v>
      </c>
      <c r="I199" s="394" t="s">
        <v>1795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3134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1790</v>
      </c>
      <c r="I200" s="394" t="s">
        <v>1795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3133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1788</v>
      </c>
      <c r="I201" s="394" t="s">
        <v>1795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3132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1790</v>
      </c>
      <c r="I202" s="394" t="s">
        <v>1795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3131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1790</v>
      </c>
      <c r="I203" s="394" t="s">
        <v>1795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3130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1790</v>
      </c>
      <c r="I204" s="394" t="s">
        <v>1795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3129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1788</v>
      </c>
      <c r="I205" s="394" t="s">
        <v>1795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3128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1790</v>
      </c>
      <c r="I206" s="394" t="s">
        <v>1795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3142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1790</v>
      </c>
      <c r="I207" s="394" t="s">
        <v>1795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3141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1788</v>
      </c>
      <c r="I208" s="394" t="s">
        <v>1795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3140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1788</v>
      </c>
      <c r="I209" s="394" t="s">
        <v>1795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3180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1788</v>
      </c>
      <c r="I210" s="394" t="s">
        <v>1795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3179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1790</v>
      </c>
      <c r="I211" s="394" t="s">
        <v>1795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3178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1790</v>
      </c>
      <c r="I212" s="394" t="s">
        <v>1795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3177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1788</v>
      </c>
      <c r="I213" s="394" t="s">
        <v>1795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3176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1788</v>
      </c>
      <c r="I214" s="394" t="s">
        <v>1795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3175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1790</v>
      </c>
      <c r="I215" s="394" t="s">
        <v>1795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3174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1790</v>
      </c>
      <c r="I216" s="394" t="s">
        <v>1795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3173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1790</v>
      </c>
      <c r="I217" s="394" t="s">
        <v>1795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3172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1790</v>
      </c>
      <c r="I218" s="394" t="s">
        <v>1795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3171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1790</v>
      </c>
      <c r="I219" s="394" t="s">
        <v>1795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3170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1790</v>
      </c>
      <c r="I220" s="394" t="s">
        <v>1795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3213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1790</v>
      </c>
      <c r="I221" s="394" t="s">
        <v>1795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3228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1788</v>
      </c>
      <c r="I222" s="394" t="s">
        <v>1795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3225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1790</v>
      </c>
      <c r="I223" s="394" t="s">
        <v>1795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3222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1790</v>
      </c>
      <c r="I224" s="394" t="s">
        <v>1795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3227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1790</v>
      </c>
      <c r="I225" s="394" t="s">
        <v>1795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3294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1790</v>
      </c>
      <c r="I226" s="394" t="s">
        <v>1795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3293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1790</v>
      </c>
      <c r="I227" s="394" t="s">
        <v>1795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3306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1790</v>
      </c>
      <c r="I228" s="394" t="s">
        <v>1795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3364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1790</v>
      </c>
      <c r="I229" s="394" t="s">
        <v>1795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3363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1790</v>
      </c>
      <c r="I230" s="394" t="s">
        <v>1795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3354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1790</v>
      </c>
      <c r="I231" s="394" t="s">
        <v>1795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3555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1790</v>
      </c>
      <c r="I232" s="394" t="s">
        <v>1795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3688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1790</v>
      </c>
      <c r="I233" s="394" t="s">
        <v>1795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3716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1790</v>
      </c>
      <c r="I234" s="394" t="s">
        <v>1795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3724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1790</v>
      </c>
      <c r="I235" s="394" t="s">
        <v>1795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3722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1788</v>
      </c>
      <c r="I236" s="394" t="s">
        <v>1795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3723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1790</v>
      </c>
      <c r="I237" s="394" t="s">
        <v>1795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3719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1790</v>
      </c>
      <c r="I238" s="394" t="s">
        <v>1795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3763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1790</v>
      </c>
      <c r="I239" s="394" t="s">
        <v>1795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3764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1790</v>
      </c>
      <c r="I240" s="394" t="s">
        <v>1795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3762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1790</v>
      </c>
      <c r="I241" s="394" t="s">
        <v>1795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3759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1790</v>
      </c>
      <c r="I242" s="394" t="s">
        <v>1795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3761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1790</v>
      </c>
      <c r="I243" s="394" t="s">
        <v>1795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3758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1790</v>
      </c>
      <c r="I244" s="394" t="s">
        <v>1795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3757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1788</v>
      </c>
      <c r="I245" s="394" t="s">
        <v>1795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3771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1790</v>
      </c>
      <c r="I246" s="394" t="s">
        <v>1795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3770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1790</v>
      </c>
      <c r="I247" s="394" t="s">
        <v>1795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3769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1790</v>
      </c>
      <c r="I248" s="394" t="s">
        <v>1795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3373</v>
      </c>
      <c r="C2" s="601">
        <v>5000</v>
      </c>
      <c r="E2" s="622" t="s">
        <v>3412</v>
      </c>
      <c r="F2" s="603">
        <f>SUM(C21,F21,I21,L21,O21,C39,F39,I39,L39,O39)</f>
        <v>3134.9206349206352</v>
      </c>
    </row>
    <row r="3" spans="2:15">
      <c r="B3" s="600" t="s">
        <v>3388</v>
      </c>
      <c r="C3" s="602">
        <v>0.2</v>
      </c>
      <c r="E3" s="622" t="s">
        <v>3413</v>
      </c>
      <c r="F3" s="629">
        <f>F2/C2</f>
        <v>0.62698412698412709</v>
      </c>
    </row>
    <row r="4" spans="2:15">
      <c r="B4" s="631" t="s">
        <v>3422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3404</v>
      </c>
    </row>
    <row r="6" spans="2:15" ht="13.8" thickBot="1">
      <c r="B6" s="1478" t="s">
        <v>3604</v>
      </c>
      <c r="C6" s="1479"/>
      <c r="E6" s="1478" t="s">
        <v>3497</v>
      </c>
      <c r="F6" s="1479"/>
      <c r="H6" s="1478" t="s">
        <v>3403</v>
      </c>
      <c r="I6" s="1479"/>
      <c r="K6" s="1478" t="s">
        <v>3523</v>
      </c>
      <c r="L6" s="1479"/>
      <c r="N6" s="1478" t="s">
        <v>3524</v>
      </c>
      <c r="O6" s="1479"/>
    </row>
    <row r="7" spans="2:15">
      <c r="B7" s="600" t="s">
        <v>3385</v>
      </c>
      <c r="C7" s="608">
        <v>50</v>
      </c>
      <c r="E7" s="600" t="s">
        <v>3385</v>
      </c>
      <c r="F7" s="608">
        <v>120</v>
      </c>
      <c r="H7" s="600" t="s">
        <v>3385</v>
      </c>
      <c r="I7" s="608">
        <v>120</v>
      </c>
      <c r="K7" s="600" t="s">
        <v>3385</v>
      </c>
      <c r="L7" s="608">
        <v>120</v>
      </c>
      <c r="N7" s="600" t="s">
        <v>3385</v>
      </c>
      <c r="O7" s="608">
        <v>120</v>
      </c>
    </row>
    <row r="8" spans="2:15">
      <c r="B8" s="600" t="s">
        <v>3386</v>
      </c>
      <c r="C8" s="600">
        <f>C7*12</f>
        <v>600</v>
      </c>
      <c r="E8" s="600" t="s">
        <v>3386</v>
      </c>
      <c r="F8" s="600">
        <f>F7*12</f>
        <v>1440</v>
      </c>
      <c r="H8" s="600" t="s">
        <v>3386</v>
      </c>
      <c r="I8" s="600">
        <f>I7*12</f>
        <v>1440</v>
      </c>
      <c r="K8" s="847" t="s">
        <v>3386</v>
      </c>
      <c r="L8" s="600">
        <f>L7*12</f>
        <v>1440</v>
      </c>
      <c r="N8" s="600" t="s">
        <v>3386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3415</v>
      </c>
      <c r="C10" s="634">
        <v>7.0000000000000007E-2</v>
      </c>
      <c r="E10" s="631" t="s">
        <v>3415</v>
      </c>
      <c r="F10" s="634">
        <v>0.25</v>
      </c>
      <c r="H10" s="631" t="s">
        <v>3415</v>
      </c>
      <c r="I10" s="634">
        <v>1</v>
      </c>
      <c r="K10" s="631" t="s">
        <v>3415</v>
      </c>
      <c r="L10" s="634">
        <v>1</v>
      </c>
      <c r="N10" s="631" t="s">
        <v>3415</v>
      </c>
      <c r="O10" s="634">
        <v>1</v>
      </c>
    </row>
    <row r="11" spans="2:15">
      <c r="B11" s="631" t="s">
        <v>3416</v>
      </c>
      <c r="C11" s="634">
        <v>3.3000000000000002E-2</v>
      </c>
      <c r="E11" s="631" t="s">
        <v>3416</v>
      </c>
      <c r="F11" s="634">
        <v>0.1</v>
      </c>
      <c r="H11" s="631" t="s">
        <v>3416</v>
      </c>
      <c r="I11" s="634">
        <v>0.21</v>
      </c>
      <c r="K11" s="631" t="s">
        <v>3416</v>
      </c>
      <c r="L11" s="634">
        <f>1/19</f>
        <v>5.2631578947368418E-2</v>
      </c>
      <c r="N11" s="631" t="s">
        <v>3416</v>
      </c>
      <c r="O11" s="634">
        <f>1/25</f>
        <v>0.04</v>
      </c>
    </row>
    <row r="12" spans="2:15">
      <c r="B12" s="631" t="s">
        <v>3423</v>
      </c>
      <c r="C12" s="634">
        <v>0.5</v>
      </c>
      <c r="E12" s="631" t="s">
        <v>3423</v>
      </c>
      <c r="F12" s="634">
        <v>0.45</v>
      </c>
      <c r="H12" s="631" t="s">
        <v>3423</v>
      </c>
      <c r="I12" s="634">
        <v>1</v>
      </c>
      <c r="K12" s="631" t="s">
        <v>3423</v>
      </c>
      <c r="L12" s="634">
        <v>1</v>
      </c>
      <c r="N12" s="631" t="s">
        <v>3423</v>
      </c>
      <c r="O12" s="634">
        <v>1</v>
      </c>
    </row>
    <row r="13" spans="2:15">
      <c r="B13" s="600" t="s">
        <v>3381</v>
      </c>
      <c r="C13" s="607">
        <f>((C9*C11)-((1-C9)*C10))</f>
        <v>1.2400000000000005E-2</v>
      </c>
      <c r="E13" s="600" t="s">
        <v>3381</v>
      </c>
      <c r="F13" s="607">
        <f>((F9*F11)-((1-F9)*F10))</f>
        <v>1.2500000000000011E-2</v>
      </c>
      <c r="H13" s="600" t="s">
        <v>3381</v>
      </c>
      <c r="I13" s="607">
        <f>((I9*I11)-((1-I9)*I10))</f>
        <v>2.849999999999997E-2</v>
      </c>
      <c r="K13" s="600" t="s">
        <v>3381</v>
      </c>
      <c r="L13" s="607">
        <f>((L9*L11)-((1-L9)*L10))</f>
        <v>2.1052631578947337E-2</v>
      </c>
      <c r="N13" s="600" t="s">
        <v>3381</v>
      </c>
      <c r="O13" s="607">
        <f>((O9*O11)-((1-O9)*O10))</f>
        <v>8.7999999999999745E-3</v>
      </c>
    </row>
    <row r="14" spans="2:15">
      <c r="B14" s="600" t="s">
        <v>3402</v>
      </c>
      <c r="C14" s="608">
        <v>2</v>
      </c>
      <c r="E14" s="600" t="s">
        <v>3402</v>
      </c>
      <c r="F14" s="608">
        <v>2</v>
      </c>
      <c r="H14" s="600" t="s">
        <v>3402</v>
      </c>
      <c r="I14" s="608">
        <v>2</v>
      </c>
      <c r="K14" s="600" t="s">
        <v>3402</v>
      </c>
      <c r="L14" s="608">
        <v>0</v>
      </c>
      <c r="N14" s="600" t="s">
        <v>3402</v>
      </c>
      <c r="O14" s="608">
        <v>0</v>
      </c>
    </row>
    <row r="15" spans="2:15" ht="13.8" thickBot="1">
      <c r="B15" s="631" t="s">
        <v>3387</v>
      </c>
      <c r="C15" s="600">
        <f>ROUNDUP(LN(C8)/LN(1/(1-C9))+C14,0)</f>
        <v>6</v>
      </c>
      <c r="E15" s="631" t="s">
        <v>3387</v>
      </c>
      <c r="F15" s="600">
        <f>ROUNDUP(LN(F8)/LN(1/(1-F9))+F14,0)</f>
        <v>8</v>
      </c>
      <c r="H15" s="631" t="s">
        <v>3387</v>
      </c>
      <c r="I15" s="600">
        <f>ROUNDUP(LN(I8)/LN(1/(1-I9))+I14,0)</f>
        <v>6</v>
      </c>
      <c r="K15" s="631" t="s">
        <v>3387</v>
      </c>
      <c r="L15" s="600">
        <f>ROUNDUP(LN(L8)/LN(1/(1-L9))+L14,0)</f>
        <v>3</v>
      </c>
      <c r="N15" s="631" t="s">
        <v>3387</v>
      </c>
      <c r="O15" s="600">
        <f>ROUNDUP(LN(O8)/LN(1/(1-O9))+O14,0)</f>
        <v>3</v>
      </c>
    </row>
    <row r="16" spans="2:15" ht="13.8" thickBot="1">
      <c r="B16" s="615" t="s">
        <v>3389</v>
      </c>
      <c r="C16" s="616">
        <f>1-(1-(1-C9)^C15)^C8</f>
        <v>3.7673249836660649E-2</v>
      </c>
      <c r="E16" s="615" t="s">
        <v>3389</v>
      </c>
      <c r="F16" s="616">
        <f>1-(1-(1-F9)^F15)^F8</f>
        <v>2.1733179823088866E-2</v>
      </c>
      <c r="H16" s="615" t="s">
        <v>3389</v>
      </c>
      <c r="I16" s="616">
        <f>1-(1-(1-I9)^I15)^I8</f>
        <v>1.6268803382633146E-2</v>
      </c>
      <c r="K16" s="615" t="s">
        <v>3389</v>
      </c>
      <c r="L16" s="616">
        <f>1-(1-(1-L9)^L15)^L8</f>
        <v>3.8134378716907835E-2</v>
      </c>
      <c r="N16" s="615" t="s">
        <v>3389</v>
      </c>
      <c r="O16" s="616">
        <f>1-(1-(1-O9)^O15)^O8</f>
        <v>3.8134378716907835E-2</v>
      </c>
    </row>
    <row r="17" spans="2:15">
      <c r="B17" s="631" t="s">
        <v>3419</v>
      </c>
      <c r="C17" s="633">
        <f>$C$4/C15</f>
        <v>166.66666666666666</v>
      </c>
      <c r="E17" s="631" t="s">
        <v>3419</v>
      </c>
      <c r="F17" s="633">
        <f>$C$4/F15</f>
        <v>125</v>
      </c>
      <c r="H17" s="631" t="s">
        <v>3419</v>
      </c>
      <c r="I17" s="633">
        <f>$C$4/I15</f>
        <v>166.66666666666666</v>
      </c>
      <c r="K17" s="631" t="s">
        <v>3419</v>
      </c>
      <c r="L17" s="633">
        <f>$C$4/L15</f>
        <v>333.33333333333331</v>
      </c>
      <c r="N17" s="631" t="s">
        <v>3419</v>
      </c>
      <c r="O17" s="633">
        <f>$C$4/O15</f>
        <v>333.33333333333331</v>
      </c>
    </row>
    <row r="18" spans="2:15">
      <c r="B18" s="631" t="s">
        <v>3420</v>
      </c>
      <c r="C18" s="603">
        <f>C17/C10</f>
        <v>2380.9523809523807</v>
      </c>
      <c r="E18" s="631" t="s">
        <v>3420</v>
      </c>
      <c r="F18" s="603">
        <f>F17/F12</f>
        <v>277.77777777777777</v>
      </c>
      <c r="H18" s="631" t="s">
        <v>3420</v>
      </c>
      <c r="I18" s="603">
        <f>I17/I10</f>
        <v>166.66666666666666</v>
      </c>
      <c r="K18" s="631" t="s">
        <v>3420</v>
      </c>
      <c r="L18" s="603">
        <f>L17/L10</f>
        <v>333.33333333333331</v>
      </c>
      <c r="N18" s="631" t="s">
        <v>3420</v>
      </c>
      <c r="O18" s="603">
        <f>O17/O10</f>
        <v>333.33333333333331</v>
      </c>
    </row>
    <row r="19" spans="2:15" ht="13.8" thickBot="1">
      <c r="B19" s="631" t="s">
        <v>3421</v>
      </c>
      <c r="C19" s="629">
        <f>C18/$C$2</f>
        <v>0.47619047619047616</v>
      </c>
      <c r="E19" s="631" t="s">
        <v>3421</v>
      </c>
      <c r="F19" s="629">
        <f>F18/$C$2</f>
        <v>5.5555555555555552E-2</v>
      </c>
      <c r="H19" s="631" t="s">
        <v>3421</v>
      </c>
      <c r="I19" s="629">
        <f>I18/$C$2</f>
        <v>3.3333333333333333E-2</v>
      </c>
      <c r="K19" s="631" t="s">
        <v>3421</v>
      </c>
      <c r="L19" s="629">
        <f>L18/$C$2</f>
        <v>6.6666666666666666E-2</v>
      </c>
      <c r="N19" s="631" t="s">
        <v>3421</v>
      </c>
      <c r="O19" s="629">
        <f>O18/$C$2</f>
        <v>6.6666666666666666E-2</v>
      </c>
    </row>
    <row r="20" spans="2:15">
      <c r="B20" s="624" t="s">
        <v>3408</v>
      </c>
      <c r="C20" s="623">
        <v>0.5</v>
      </c>
      <c r="E20" s="624" t="s">
        <v>3408</v>
      </c>
      <c r="F20" s="623">
        <v>1</v>
      </c>
      <c r="H20" s="624" t="s">
        <v>3408</v>
      </c>
      <c r="I20" s="623">
        <v>1</v>
      </c>
      <c r="K20" s="624" t="s">
        <v>3408</v>
      </c>
      <c r="L20" s="623">
        <v>1</v>
      </c>
      <c r="N20" s="624" t="s">
        <v>3408</v>
      </c>
      <c r="O20" s="623">
        <v>1</v>
      </c>
    </row>
    <row r="21" spans="2:15" ht="13.8" thickBot="1">
      <c r="B21" s="625" t="s">
        <v>3409</v>
      </c>
      <c r="C21" s="628">
        <f>C20*C18</f>
        <v>1190.4761904761904</v>
      </c>
      <c r="E21" s="625" t="s">
        <v>3409</v>
      </c>
      <c r="F21" s="628">
        <f>F20*F18</f>
        <v>277.77777777777777</v>
      </c>
      <c r="H21" s="625" t="s">
        <v>3409</v>
      </c>
      <c r="I21" s="628">
        <f>I20*I18</f>
        <v>166.66666666666666</v>
      </c>
      <c r="K21" s="625" t="s">
        <v>3409</v>
      </c>
      <c r="L21" s="628">
        <f>IFERROR(L20*L18,0)</f>
        <v>333.33333333333331</v>
      </c>
      <c r="N21" s="625" t="s">
        <v>3409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478" t="s">
        <v>3411</v>
      </c>
      <c r="C24" s="1479"/>
      <c r="E24" s="1478" t="s">
        <v>3410</v>
      </c>
      <c r="F24" s="1479"/>
      <c r="H24" s="1478" t="s">
        <v>3400</v>
      </c>
      <c r="I24" s="1479"/>
      <c r="K24" s="1478" t="s">
        <v>3399</v>
      </c>
      <c r="L24" s="1479"/>
      <c r="N24" s="1478" t="s">
        <v>3525</v>
      </c>
      <c r="O24" s="1479"/>
    </row>
    <row r="25" spans="2:15">
      <c r="B25" s="600" t="s">
        <v>3385</v>
      </c>
      <c r="C25" s="608">
        <v>4</v>
      </c>
      <c r="E25" s="600" t="s">
        <v>3385</v>
      </c>
      <c r="F25" s="608">
        <v>4</v>
      </c>
      <c r="H25" s="600" t="s">
        <v>3385</v>
      </c>
      <c r="I25" s="608">
        <v>60</v>
      </c>
      <c r="K25" s="600" t="s">
        <v>3385</v>
      </c>
      <c r="L25" s="608"/>
      <c r="N25" s="600" t="s">
        <v>3385</v>
      </c>
      <c r="O25" s="608"/>
    </row>
    <row r="26" spans="2:15">
      <c r="B26" s="600" t="s">
        <v>3386</v>
      </c>
      <c r="C26" s="600">
        <f>C25*12</f>
        <v>48</v>
      </c>
      <c r="E26" s="600" t="s">
        <v>3386</v>
      </c>
      <c r="F26" s="600">
        <f>F25*12</f>
        <v>48</v>
      </c>
      <c r="H26" s="600" t="s">
        <v>3386</v>
      </c>
      <c r="I26" s="600">
        <f>I25*12</f>
        <v>720</v>
      </c>
      <c r="K26" s="600" t="s">
        <v>3386</v>
      </c>
      <c r="L26" s="600">
        <f>L25*12</f>
        <v>0</v>
      </c>
      <c r="N26" s="600" t="s">
        <v>3386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3415</v>
      </c>
      <c r="C28" s="634">
        <v>1</v>
      </c>
      <c r="E28" s="631" t="s">
        <v>3415</v>
      </c>
      <c r="F28" s="634">
        <v>1</v>
      </c>
      <c r="H28" s="631" t="s">
        <v>3415</v>
      </c>
      <c r="I28" s="634">
        <v>1</v>
      </c>
      <c r="K28" s="631" t="s">
        <v>3415</v>
      </c>
      <c r="L28" s="634"/>
      <c r="N28" s="631" t="s">
        <v>3415</v>
      </c>
      <c r="O28" s="634"/>
    </row>
    <row r="29" spans="2:15">
      <c r="B29" s="631" t="s">
        <v>3416</v>
      </c>
      <c r="C29" s="602">
        <f>1/19</f>
        <v>5.2631578947368418E-2</v>
      </c>
      <c r="E29" s="631" t="s">
        <v>3416</v>
      </c>
      <c r="F29" s="602">
        <f>1/14</f>
        <v>7.1428571428571425E-2</v>
      </c>
      <c r="H29" s="631" t="s">
        <v>3416</v>
      </c>
      <c r="I29" s="602">
        <v>9.2999999999999999E-2</v>
      </c>
      <c r="K29" s="631" t="s">
        <v>3416</v>
      </c>
      <c r="L29" s="602"/>
      <c r="N29" s="631" t="s">
        <v>3416</v>
      </c>
      <c r="O29" s="634"/>
    </row>
    <row r="30" spans="2:15">
      <c r="B30" s="631" t="s">
        <v>3423</v>
      </c>
      <c r="C30" s="602">
        <v>1</v>
      </c>
      <c r="E30" s="631" t="s">
        <v>3423</v>
      </c>
      <c r="F30" s="602">
        <v>1</v>
      </c>
      <c r="H30" s="631" t="s">
        <v>3423</v>
      </c>
      <c r="I30" s="602">
        <v>1</v>
      </c>
      <c r="K30" s="631" t="s">
        <v>3423</v>
      </c>
      <c r="L30" s="602"/>
      <c r="N30" s="631" t="s">
        <v>3423</v>
      </c>
      <c r="O30" s="634"/>
    </row>
    <row r="31" spans="2:15">
      <c r="B31" s="600" t="s">
        <v>3381</v>
      </c>
      <c r="C31" s="607">
        <f>((C27*C29)-((1-C27)*C28))</f>
        <v>1.0526315789473641E-2</v>
      </c>
      <c r="E31" s="600" t="s">
        <v>3381</v>
      </c>
      <c r="F31" s="607">
        <f>((F27*F29)-((1-F27)*F28))</f>
        <v>3.9285714285714257E-2</v>
      </c>
      <c r="H31" s="600" t="s">
        <v>3381</v>
      </c>
      <c r="I31" s="607">
        <f>((I27*I29)-((1-I27)*I28))</f>
        <v>2.5233999999999937E-2</v>
      </c>
      <c r="K31" s="600" t="s">
        <v>3381</v>
      </c>
      <c r="L31" s="607">
        <f>((L27*L29)-((1-L27)*L28))</f>
        <v>0</v>
      </c>
      <c r="N31" s="600" t="s">
        <v>3381</v>
      </c>
      <c r="O31" s="607">
        <f>((O27*O29)-((1-O27)*O28))</f>
        <v>0</v>
      </c>
    </row>
    <row r="32" spans="2:15">
      <c r="B32" s="600" t="s">
        <v>3402</v>
      </c>
      <c r="C32" s="608">
        <v>1</v>
      </c>
      <c r="E32" s="600" t="s">
        <v>3402</v>
      </c>
      <c r="F32" s="608">
        <v>0</v>
      </c>
      <c r="H32" s="600" t="s">
        <v>3402</v>
      </c>
      <c r="I32" s="608">
        <v>1</v>
      </c>
      <c r="K32" s="600" t="s">
        <v>3402</v>
      </c>
      <c r="L32" s="608"/>
      <c r="N32" s="600" t="s">
        <v>3402</v>
      </c>
      <c r="O32" s="608"/>
    </row>
    <row r="33" spans="2:15" ht="13.8" thickBot="1">
      <c r="B33" s="631" t="s">
        <v>3387</v>
      </c>
      <c r="C33" s="600">
        <f>ROUNDUP(LN(C26)/LN(1/(1-C27))+C32,0)</f>
        <v>3</v>
      </c>
      <c r="E33" s="631" t="s">
        <v>3387</v>
      </c>
      <c r="F33" s="600">
        <f>ROUNDUP(LN(F26)/LN(1/(1-F27))+F32,0)</f>
        <v>2</v>
      </c>
      <c r="H33" s="631" t="s">
        <v>3387</v>
      </c>
      <c r="I33" s="600">
        <f>ROUNDUP(LN(I26)/LN(1/(1-I27))+I32,0)</f>
        <v>4</v>
      </c>
      <c r="K33" s="631" t="s">
        <v>3387</v>
      </c>
      <c r="L33" s="600" t="e">
        <f>ROUNDUP(LN(L26)/LN(1/(1-L27))+L32,0)</f>
        <v>#NUM!</v>
      </c>
      <c r="N33" s="631" t="s">
        <v>3387</v>
      </c>
      <c r="O33" s="600" t="e">
        <f>ROUNDUP(LN(O26)/LN(1/(1-O27))+O32,0)</f>
        <v>#NUM!</v>
      </c>
    </row>
    <row r="34" spans="2:15" ht="13.8" thickBot="1">
      <c r="B34" s="615" t="s">
        <v>3389</v>
      </c>
      <c r="C34" s="616">
        <f>1-(1-(1-C27)^C33)^C26</f>
        <v>3.0673842427780817E-3</v>
      </c>
      <c r="E34" s="615" t="s">
        <v>3389</v>
      </c>
      <c r="F34" s="616">
        <f>1-(1-(1-F27)^F33)^F26</f>
        <v>4.2298802124675072E-2</v>
      </c>
      <c r="H34" s="615" t="s">
        <v>3389</v>
      </c>
      <c r="I34" s="616">
        <f>1-(1-(1-I27)^I33)^I26</f>
        <v>1.0582646102934801E-2</v>
      </c>
      <c r="K34" s="615" t="s">
        <v>3389</v>
      </c>
      <c r="L34" s="616" t="e">
        <f>1-(1-(1-L27)^L33)^L26</f>
        <v>#NUM!</v>
      </c>
      <c r="N34" s="615" t="s">
        <v>3389</v>
      </c>
      <c r="O34" s="616" t="e">
        <f>1-(1-(1-O27)^O33)^O26</f>
        <v>#NUM!</v>
      </c>
    </row>
    <row r="35" spans="2:15">
      <c r="B35" s="631" t="s">
        <v>3419</v>
      </c>
      <c r="C35" s="633">
        <f>$C$4/C33</f>
        <v>333.33333333333331</v>
      </c>
      <c r="E35" s="631" t="s">
        <v>3419</v>
      </c>
      <c r="F35" s="633">
        <f>$C$4/F33</f>
        <v>500</v>
      </c>
      <c r="H35" s="631" t="s">
        <v>3419</v>
      </c>
      <c r="I35" s="633">
        <f>$C$4/I33</f>
        <v>250</v>
      </c>
      <c r="K35" s="631" t="s">
        <v>3419</v>
      </c>
      <c r="L35" s="633" t="e">
        <f>$C$4/L33</f>
        <v>#NUM!</v>
      </c>
      <c r="N35" s="631" t="s">
        <v>3419</v>
      </c>
      <c r="O35" s="633" t="e">
        <f>$C$4/O33</f>
        <v>#NUM!</v>
      </c>
    </row>
    <row r="36" spans="2:15">
      <c r="B36" s="631" t="s">
        <v>3420</v>
      </c>
      <c r="C36" s="603">
        <f>C35/C28</f>
        <v>333.33333333333331</v>
      </c>
      <c r="E36" s="631" t="s">
        <v>3420</v>
      </c>
      <c r="F36" s="603">
        <f>F35/F28</f>
        <v>500</v>
      </c>
      <c r="H36" s="631" t="s">
        <v>3420</v>
      </c>
      <c r="I36" s="603">
        <f>I35/I28</f>
        <v>250</v>
      </c>
      <c r="K36" s="631" t="s">
        <v>3420</v>
      </c>
      <c r="L36" s="603" t="e">
        <f>L35/L28</f>
        <v>#NUM!</v>
      </c>
      <c r="N36" s="631" t="s">
        <v>3420</v>
      </c>
      <c r="O36" s="603" t="e">
        <f>O35/O28</f>
        <v>#NUM!</v>
      </c>
    </row>
    <row r="37" spans="2:15" ht="13.8" thickBot="1">
      <c r="B37" s="631" t="s">
        <v>3421</v>
      </c>
      <c r="C37" s="629">
        <f>C36/$C$2</f>
        <v>6.6666666666666666E-2</v>
      </c>
      <c r="E37" s="631" t="s">
        <v>3421</v>
      </c>
      <c r="F37" s="629">
        <f>F36/$C$2</f>
        <v>0.1</v>
      </c>
      <c r="H37" s="631" t="s">
        <v>3421</v>
      </c>
      <c r="I37" s="629">
        <f>I36/$C$2</f>
        <v>0.05</v>
      </c>
      <c r="K37" s="631" t="s">
        <v>3421</v>
      </c>
      <c r="L37" s="629" t="e">
        <f>L36/$C$2</f>
        <v>#NUM!</v>
      </c>
      <c r="N37" s="631" t="s">
        <v>3421</v>
      </c>
      <c r="O37" s="629" t="e">
        <f>O36/$C$2</f>
        <v>#NUM!</v>
      </c>
    </row>
    <row r="38" spans="2:15">
      <c r="B38" s="624" t="s">
        <v>3408</v>
      </c>
      <c r="C38" s="623">
        <v>0.7</v>
      </c>
      <c r="E38" s="624" t="s">
        <v>3408</v>
      </c>
      <c r="F38" s="623">
        <v>0.7</v>
      </c>
      <c r="H38" s="624" t="s">
        <v>3408</v>
      </c>
      <c r="I38" s="623">
        <v>1</v>
      </c>
      <c r="K38" s="624" t="s">
        <v>3408</v>
      </c>
      <c r="L38" s="623"/>
      <c r="N38" s="624" t="s">
        <v>3408</v>
      </c>
      <c r="O38" s="623">
        <v>0</v>
      </c>
    </row>
    <row r="39" spans="2:15" ht="13.8" thickBot="1">
      <c r="B39" s="625" t="s">
        <v>3409</v>
      </c>
      <c r="C39" s="628">
        <f>C38*C36</f>
        <v>233.33333333333331</v>
      </c>
      <c r="E39" s="625" t="s">
        <v>3409</v>
      </c>
      <c r="F39" s="628">
        <f>F38*F36</f>
        <v>350</v>
      </c>
      <c r="H39" s="625" t="s">
        <v>3409</v>
      </c>
      <c r="I39" s="628">
        <f>I38*I36</f>
        <v>250</v>
      </c>
      <c r="K39" s="625" t="s">
        <v>3409</v>
      </c>
      <c r="L39" s="628">
        <f>IFERROR(L38*L36,0)</f>
        <v>0</v>
      </c>
      <c r="N39" s="625" t="s">
        <v>3409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3373</v>
      </c>
      <c r="C2" s="601">
        <v>4200</v>
      </c>
      <c r="E2" s="622" t="s">
        <v>3412</v>
      </c>
      <c r="F2" s="603">
        <f>SUM(F38:X38)</f>
        <v>2900</v>
      </c>
    </row>
    <row r="3" spans="2:25">
      <c r="B3" s="600" t="s">
        <v>3388</v>
      </c>
      <c r="C3" s="602">
        <v>0.2</v>
      </c>
      <c r="E3" s="622" t="s">
        <v>3413</v>
      </c>
      <c r="F3" s="629">
        <f>F2/C2</f>
        <v>0.69047619047619047</v>
      </c>
    </row>
    <row r="4" spans="2:25" ht="13.8" thickBot="1"/>
    <row r="5" spans="2:25" ht="13.8" thickBot="1">
      <c r="B5" s="1478" t="s">
        <v>3401</v>
      </c>
      <c r="C5" s="1479"/>
      <c r="E5" s="1478" t="s">
        <v>3405</v>
      </c>
      <c r="F5" s="1479"/>
      <c r="H5" s="1478" t="s">
        <v>3403</v>
      </c>
      <c r="I5" s="1479"/>
      <c r="K5" s="1480" t="s">
        <v>3414</v>
      </c>
      <c r="L5" s="1481"/>
      <c r="N5" s="1478" t="s">
        <v>3410</v>
      </c>
      <c r="O5" s="1479"/>
      <c r="Q5" s="1478" t="s">
        <v>3411</v>
      </c>
      <c r="R5" s="1479"/>
      <c r="T5" s="1478" t="s">
        <v>3400</v>
      </c>
      <c r="U5" s="1479"/>
      <c r="W5" s="1478" t="s">
        <v>3399</v>
      </c>
      <c r="X5" s="1479"/>
    </row>
    <row r="6" spans="2:25">
      <c r="B6" s="600" t="s">
        <v>3373</v>
      </c>
      <c r="C6" s="609">
        <f>$C$2</f>
        <v>4200</v>
      </c>
      <c r="E6" s="600" t="s">
        <v>3373</v>
      </c>
      <c r="F6" s="609">
        <f>$C$2</f>
        <v>4200</v>
      </c>
      <c r="H6" s="600" t="s">
        <v>3373</v>
      </c>
      <c r="I6" s="609">
        <f>$C$2</f>
        <v>4200</v>
      </c>
      <c r="K6" s="600" t="s">
        <v>3373</v>
      </c>
      <c r="L6" s="609">
        <f>$C$2</f>
        <v>4200</v>
      </c>
      <c r="N6" s="600" t="s">
        <v>3373</v>
      </c>
      <c r="O6" s="609">
        <f>$C$2</f>
        <v>4200</v>
      </c>
      <c r="Q6" s="600" t="s">
        <v>3373</v>
      </c>
      <c r="R6" s="609">
        <f>$C$2</f>
        <v>4200</v>
      </c>
      <c r="T6" s="600" t="s">
        <v>3373</v>
      </c>
      <c r="U6" s="609">
        <f>$C$2</f>
        <v>4200</v>
      </c>
      <c r="W6" s="600" t="s">
        <v>3373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3415</v>
      </c>
      <c r="C8" s="601">
        <v>100</v>
      </c>
      <c r="E8" s="631" t="s">
        <v>3415</v>
      </c>
      <c r="F8" s="601">
        <v>15</v>
      </c>
      <c r="H8" s="631" t="s">
        <v>3415</v>
      </c>
      <c r="I8" s="601">
        <v>100</v>
      </c>
      <c r="K8" s="631" t="s">
        <v>3415</v>
      </c>
      <c r="L8" s="601">
        <v>10</v>
      </c>
    </row>
    <row r="9" spans="2:25">
      <c r="B9" s="631" t="s">
        <v>3416</v>
      </c>
      <c r="C9" s="601">
        <v>33</v>
      </c>
      <c r="E9" s="631" t="s">
        <v>3416</v>
      </c>
      <c r="F9" s="601">
        <v>8.3000000000000007</v>
      </c>
      <c r="H9" s="631" t="s">
        <v>3416</v>
      </c>
      <c r="I9" s="601">
        <v>23</v>
      </c>
      <c r="K9" s="631" t="s">
        <v>3416</v>
      </c>
      <c r="L9" s="601">
        <v>4</v>
      </c>
    </row>
    <row r="10" spans="2:25">
      <c r="B10" s="600" t="s">
        <v>3374</v>
      </c>
      <c r="C10" s="603">
        <f>C9/C8+1</f>
        <v>1.33</v>
      </c>
      <c r="E10" s="600" t="s">
        <v>3374</v>
      </c>
      <c r="F10" s="603">
        <f>F9/F8+1</f>
        <v>1.5533333333333332</v>
      </c>
      <c r="H10" s="600" t="s">
        <v>3374</v>
      </c>
      <c r="I10" s="603">
        <f>I9/I8+1</f>
        <v>1.23</v>
      </c>
      <c r="K10" s="600" t="s">
        <v>3374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3375</v>
      </c>
      <c r="C11" s="621">
        <v>2</v>
      </c>
      <c r="E11" s="600" t="s">
        <v>3375</v>
      </c>
      <c r="F11" s="621">
        <v>2</v>
      </c>
      <c r="H11" s="600" t="s">
        <v>3375</v>
      </c>
      <c r="I11" s="621">
        <v>2</v>
      </c>
      <c r="K11" s="600" t="s">
        <v>3375</v>
      </c>
      <c r="L11" s="621">
        <v>2.5</v>
      </c>
      <c r="N11" s="600" t="s">
        <v>3375</v>
      </c>
      <c r="O11" s="621">
        <v>1</v>
      </c>
      <c r="Q11" s="600" t="s">
        <v>3375</v>
      </c>
      <c r="R11" s="621">
        <v>1</v>
      </c>
      <c r="T11" s="600" t="s">
        <v>3375</v>
      </c>
      <c r="U11" s="621">
        <v>2.5</v>
      </c>
      <c r="W11" s="600" t="s">
        <v>3375</v>
      </c>
      <c r="X11" s="621">
        <v>5</v>
      </c>
    </row>
    <row r="12" spans="2:25">
      <c r="B12" s="600" t="s">
        <v>3376</v>
      </c>
      <c r="C12" s="603">
        <f>C10-1</f>
        <v>0.33000000000000007</v>
      </c>
      <c r="E12" s="600" t="s">
        <v>3376</v>
      </c>
      <c r="F12" s="603">
        <f>F10-1</f>
        <v>0.55333333333333323</v>
      </c>
      <c r="H12" s="600" t="s">
        <v>3376</v>
      </c>
      <c r="I12" s="603">
        <f>I10-1</f>
        <v>0.22999999999999998</v>
      </c>
      <c r="K12" s="600" t="s">
        <v>3376</v>
      </c>
      <c r="L12" s="603">
        <f>L10-1</f>
        <v>0.39999999999999991</v>
      </c>
      <c r="N12" s="600" t="s">
        <v>3376</v>
      </c>
      <c r="O12" s="603">
        <f>1/(O10-1)</f>
        <v>7.2992700729927015E-2</v>
      </c>
      <c r="Q12" s="600" t="s">
        <v>3376</v>
      </c>
      <c r="R12" s="603">
        <f>1/(R10-1)</f>
        <v>5.305039787798408E-2</v>
      </c>
      <c r="T12" s="600" t="s">
        <v>3376</v>
      </c>
      <c r="U12" s="603">
        <f>1/(U10-1)</f>
        <v>9.3370681605975711E-2</v>
      </c>
      <c r="W12" s="600" t="s">
        <v>3376</v>
      </c>
      <c r="X12" s="603">
        <f>X10-1</f>
        <v>0.28000000000000003</v>
      </c>
    </row>
    <row r="13" spans="2:25">
      <c r="B13" s="600" t="s">
        <v>3377</v>
      </c>
      <c r="C13" s="604">
        <f>1-C7</f>
        <v>0.17000000000000004</v>
      </c>
      <c r="E13" s="600" t="s">
        <v>3377</v>
      </c>
      <c r="F13" s="604">
        <f>1-F7</f>
        <v>0.19999999999999996</v>
      </c>
      <c r="H13" s="600" t="s">
        <v>3377</v>
      </c>
      <c r="I13" s="604">
        <f>1-I7</f>
        <v>0.15000000000000002</v>
      </c>
      <c r="K13" s="600" t="s">
        <v>3377</v>
      </c>
      <c r="L13" s="604">
        <f>1-L7</f>
        <v>0.25</v>
      </c>
      <c r="N13" s="600" t="s">
        <v>3377</v>
      </c>
      <c r="O13" s="605">
        <f>1-O7</f>
        <v>2.0000000000000018E-2</v>
      </c>
      <c r="Q13" s="600" t="s">
        <v>3377</v>
      </c>
      <c r="R13" s="605">
        <f>1-R7</f>
        <v>2.0000000000000018E-2</v>
      </c>
      <c r="T13" s="600" t="s">
        <v>3377</v>
      </c>
      <c r="U13" s="605">
        <f>1-U7</f>
        <v>6.2000000000000055E-2</v>
      </c>
      <c r="W13" s="600" t="s">
        <v>3377</v>
      </c>
      <c r="X13" s="604">
        <f>1-X7</f>
        <v>0.15000000000000002</v>
      </c>
    </row>
    <row r="14" spans="2:25" ht="13.8" thickBot="1">
      <c r="B14" s="600" t="s">
        <v>3378</v>
      </c>
      <c r="C14" s="603">
        <f>(C12*C7-C13)/C12</f>
        <v>0.31484848484848477</v>
      </c>
      <c r="E14" s="600" t="s">
        <v>3378</v>
      </c>
      <c r="F14" s="603">
        <f>(F12*F7-F13)/F12</f>
        <v>0.43855421686746993</v>
      </c>
      <c r="H14" s="600" t="s">
        <v>3378</v>
      </c>
      <c r="I14" s="603">
        <f>(I12*I7-I13)/I12</f>
        <v>0.19782608695652157</v>
      </c>
      <c r="K14" s="600" t="s">
        <v>3378</v>
      </c>
      <c r="L14" s="603">
        <f>(L12*L7-L13)/L12</f>
        <v>0.12499999999999986</v>
      </c>
      <c r="N14" s="600" t="s">
        <v>3378</v>
      </c>
      <c r="O14" s="603">
        <f>(O12*O7-O13)/O12</f>
        <v>0.70599999999999974</v>
      </c>
      <c r="Q14" s="600" t="s">
        <v>3378</v>
      </c>
      <c r="R14" s="603">
        <f>(R12*R7-R13)/R12</f>
        <v>0.60299999999999965</v>
      </c>
      <c r="T14" s="600" t="s">
        <v>3378</v>
      </c>
      <c r="U14" s="603">
        <f>(U12*U7-U13)/U12</f>
        <v>0.27397999999999922</v>
      </c>
      <c r="W14" s="600" t="s">
        <v>3378</v>
      </c>
      <c r="X14" s="603">
        <f>(X12*X7-X13)/X12</f>
        <v>0.31428571428571422</v>
      </c>
    </row>
    <row r="15" spans="2:25">
      <c r="B15" s="611" t="s">
        <v>3379</v>
      </c>
      <c r="C15" s="612">
        <f>C14/C11/(C8/100)</f>
        <v>0.15742424242424238</v>
      </c>
      <c r="E15" s="611" t="s">
        <v>3379</v>
      </c>
      <c r="F15" s="612">
        <f>F14/F11/(F8/100)</f>
        <v>1.4618473895582331</v>
      </c>
      <c r="H15" s="611" t="s">
        <v>3379</v>
      </c>
      <c r="I15" s="612">
        <f>I14/I11/(I8/100)</f>
        <v>9.8913043478260784E-2</v>
      </c>
      <c r="K15" s="611" t="s">
        <v>3379</v>
      </c>
      <c r="L15" s="612">
        <f>L14/L11/(L8/100)</f>
        <v>0.49999999999999944</v>
      </c>
      <c r="N15" s="611" t="s">
        <v>3379</v>
      </c>
      <c r="O15" s="612">
        <f>O14/O11</f>
        <v>0.70599999999999974</v>
      </c>
      <c r="Q15" s="611" t="s">
        <v>3379</v>
      </c>
      <c r="R15" s="612">
        <f>R14/R11</f>
        <v>0.60299999999999965</v>
      </c>
      <c r="T15" s="611" t="s">
        <v>3379</v>
      </c>
      <c r="U15" s="612">
        <f>U14/U11</f>
        <v>0.10959199999999969</v>
      </c>
      <c r="W15" s="611" t="s">
        <v>3379</v>
      </c>
      <c r="X15" s="612">
        <f>X14/X11</f>
        <v>6.2857142857142848E-2</v>
      </c>
      <c r="Y15" s="600" t="s">
        <v>3395</v>
      </c>
    </row>
    <row r="16" spans="2:25" ht="13.8" thickBot="1">
      <c r="B16" s="613" t="s">
        <v>3380</v>
      </c>
      <c r="C16" s="614">
        <f>C15*C6</f>
        <v>661.18181818181802</v>
      </c>
      <c r="E16" s="613" t="s">
        <v>3380</v>
      </c>
      <c r="F16" s="614">
        <f>F15*F6</f>
        <v>6139.7590361445791</v>
      </c>
      <c r="H16" s="613" t="s">
        <v>3380</v>
      </c>
      <c r="I16" s="614">
        <f>I15*I6</f>
        <v>415.43478260869529</v>
      </c>
      <c r="K16" s="613" t="s">
        <v>3380</v>
      </c>
      <c r="L16" s="614">
        <f>L15*L6</f>
        <v>2099.9999999999977</v>
      </c>
      <c r="N16" s="613" t="s">
        <v>3380</v>
      </c>
      <c r="O16" s="614">
        <f>O15*O6</f>
        <v>2965.1999999999989</v>
      </c>
      <c r="Q16" s="613" t="s">
        <v>3380</v>
      </c>
      <c r="R16" s="614">
        <f>R15*R6</f>
        <v>2532.5999999999985</v>
      </c>
      <c r="T16" s="613" t="s">
        <v>3380</v>
      </c>
      <c r="U16" s="614">
        <f>U15*U6</f>
        <v>460.28639999999871</v>
      </c>
      <c r="W16" s="613" t="s">
        <v>3380</v>
      </c>
      <c r="X16" s="614">
        <f>X15*X6</f>
        <v>263.99999999999994</v>
      </c>
      <c r="Y16" s="600" t="s">
        <v>3396</v>
      </c>
    </row>
    <row r="18" spans="2:25">
      <c r="B18" s="600" t="s">
        <v>3381</v>
      </c>
      <c r="C18" s="607">
        <f>((C7*C9)-(C13*C8))/C8</f>
        <v>0.10389999999999994</v>
      </c>
      <c r="E18" s="600" t="s">
        <v>3381</v>
      </c>
      <c r="F18" s="607">
        <f>((F7*F9)-(F13*F8))/F8</f>
        <v>0.24266666666666675</v>
      </c>
      <c r="H18" s="600" t="s">
        <v>3381</v>
      </c>
      <c r="I18" s="607">
        <f>((I7*I9)-(I13*I8))/I8</f>
        <v>4.5499999999999992E-2</v>
      </c>
      <c r="K18" s="600" t="s">
        <v>3381</v>
      </c>
      <c r="L18" s="607">
        <f>((L7*L9)-(L13*L8))/L8</f>
        <v>0.05</v>
      </c>
      <c r="N18" s="600" t="s">
        <v>3381</v>
      </c>
      <c r="O18" s="607">
        <f>(100/(O10-1)*O7-O13*100)/100</f>
        <v>5.1532846715328449E-2</v>
      </c>
      <c r="Q18" s="600" t="s">
        <v>3381</v>
      </c>
      <c r="R18" s="607">
        <f>(100/(R10-1)*R7-R13*100)/100</f>
        <v>3.1989389920424376E-2</v>
      </c>
      <c r="T18" s="600" t="s">
        <v>3381</v>
      </c>
      <c r="U18" s="607">
        <f>(100/(U10-1)*U7-U13*100)/100</f>
        <v>2.5581699346405164E-2</v>
      </c>
      <c r="W18" s="600" t="s">
        <v>3381</v>
      </c>
      <c r="X18" s="607">
        <f>(100*(X10-1)*X7-X13*100)/100</f>
        <v>8.7999999999999995E-2</v>
      </c>
    </row>
    <row r="19" spans="2:25" ht="13.8" thickBot="1">
      <c r="B19" s="600" t="s">
        <v>3382</v>
      </c>
      <c r="C19" s="606">
        <f>(C7*(C9/100-C18)^2)+(C13*(-C8/100-C18)^2)</f>
        <v>0.24959179000000004</v>
      </c>
      <c r="E19" s="600" t="s">
        <v>3382</v>
      </c>
      <c r="F19" s="606">
        <f>(F7*(F9/100-F18)^2)+(F13*(-F8/100-F18)^2)</f>
        <v>5.1232177777777804E-2</v>
      </c>
      <c r="H19" s="600" t="s">
        <v>3382</v>
      </c>
      <c r="I19" s="606">
        <f>(I7*(I9/100-I18)^2)+(I13*(-I8/100-I18)^2)</f>
        <v>0.19289475000000006</v>
      </c>
      <c r="K19" s="600" t="s">
        <v>3382</v>
      </c>
      <c r="L19" s="606">
        <f>(L7*(L9/100-L18)^2)+(L13*(-L8/100-L18)^2)</f>
        <v>5.7000000000000019E-3</v>
      </c>
      <c r="N19" s="600" t="s">
        <v>3382</v>
      </c>
      <c r="O19" s="606">
        <f>(O7*((100/O10-1)/100-O18)^2)+(O13*(-100/100-O18)^2)</f>
        <v>2.2155759785065589E-2</v>
      </c>
      <c r="Q19" s="600" t="s">
        <v>3382</v>
      </c>
      <c r="R19" s="606">
        <f>(R7*((100/R10-1)/100-R18)^2)+(R13*(-100/100-R18)^2)</f>
        <v>2.1369000688302688E-2</v>
      </c>
      <c r="T19" s="600" t="s">
        <v>3382</v>
      </c>
      <c r="U19" s="606">
        <f>(U7*((100/U10-1)/100-U18)^2)+(U13*(-100/100-U18)^2)</f>
        <v>6.7540421184373492E-2</v>
      </c>
      <c r="W19" s="600" t="s">
        <v>3383</v>
      </c>
      <c r="X19" s="606">
        <f>(X7*((100/X10-1)/100-X18)^2)+(X13*(-100/100-X18)^2)</f>
        <v>0.57436757812500006</v>
      </c>
    </row>
    <row r="20" spans="2:25" ht="13.8" thickBot="1">
      <c r="B20" s="615" t="s">
        <v>3384</v>
      </c>
      <c r="C20" s="616">
        <f>EXP(-2*C18/C19*1/C15)</f>
        <v>5.0486444595291965E-3</v>
      </c>
      <c r="E20" s="615" t="s">
        <v>3384</v>
      </c>
      <c r="F20" s="616">
        <f>EXP(-2*F18/F19*1/F15)</f>
        <v>1.5333470630893866E-3</v>
      </c>
      <c r="H20" s="615" t="s">
        <v>3384</v>
      </c>
      <c r="I20" s="616">
        <f>EXP(-2*I18/I19*1/I15)</f>
        <v>8.4851277069127456E-3</v>
      </c>
      <c r="K20" s="615" t="s">
        <v>3384</v>
      </c>
      <c r="L20" s="616">
        <f>EXP(-2*L18/L19*1/L15)</f>
        <v>5.7756002457180912E-16</v>
      </c>
      <c r="N20" s="615" t="s">
        <v>3384</v>
      </c>
      <c r="O20" s="616">
        <f>EXP(-2*O18/O19*1/O15)</f>
        <v>1.3753463906141096E-3</v>
      </c>
      <c r="Q20" s="615" t="s">
        <v>3384</v>
      </c>
      <c r="R20" s="616">
        <f>EXP(-2*R18/R19*1/R15)</f>
        <v>6.9767401994437518E-3</v>
      </c>
      <c r="T20" s="615" t="s">
        <v>3384</v>
      </c>
      <c r="U20" s="616">
        <f>EXP(-2*U18/U19*1/U15)</f>
        <v>9.9555764349703712E-4</v>
      </c>
      <c r="W20" s="615" t="s">
        <v>3384</v>
      </c>
      <c r="X20" s="616">
        <f>EXP(-2*X18/X19*1/X15)</f>
        <v>7.635651794193306E-3</v>
      </c>
      <c r="Y20" s="600" t="s">
        <v>3393</v>
      </c>
    </row>
    <row r="22" spans="2:25">
      <c r="B22" s="600" t="s">
        <v>3385</v>
      </c>
      <c r="C22" s="608">
        <v>300</v>
      </c>
      <c r="E22" s="600" t="s">
        <v>3385</v>
      </c>
      <c r="F22" s="608">
        <v>60</v>
      </c>
      <c r="H22" s="600" t="s">
        <v>3385</v>
      </c>
      <c r="I22" s="608">
        <v>60</v>
      </c>
      <c r="K22" s="600" t="s">
        <v>3385</v>
      </c>
      <c r="L22" s="608">
        <v>30</v>
      </c>
      <c r="N22" s="600" t="s">
        <v>3385</v>
      </c>
      <c r="O22" s="608">
        <v>30</v>
      </c>
      <c r="Q22" s="600" t="s">
        <v>3385</v>
      </c>
      <c r="R22" s="608">
        <v>30</v>
      </c>
      <c r="T22" s="600" t="s">
        <v>3385</v>
      </c>
      <c r="U22" s="608">
        <v>60</v>
      </c>
      <c r="W22" s="600" t="s">
        <v>3385</v>
      </c>
      <c r="X22" s="608">
        <v>30</v>
      </c>
    </row>
    <row r="23" spans="2:25">
      <c r="B23" s="600" t="s">
        <v>3386</v>
      </c>
      <c r="C23" s="600">
        <f>C22*12</f>
        <v>3600</v>
      </c>
      <c r="E23" s="600" t="s">
        <v>3386</v>
      </c>
      <c r="F23" s="600">
        <f>F22*12</f>
        <v>720</v>
      </c>
      <c r="H23" s="600" t="s">
        <v>3386</v>
      </c>
      <c r="I23" s="600">
        <f>I22*12</f>
        <v>720</v>
      </c>
      <c r="K23" s="600" t="s">
        <v>3386</v>
      </c>
      <c r="L23" s="600">
        <f>L22*12</f>
        <v>360</v>
      </c>
      <c r="N23" s="600" t="s">
        <v>3386</v>
      </c>
      <c r="O23" s="600">
        <f>O22*12</f>
        <v>360</v>
      </c>
      <c r="Q23" s="600" t="s">
        <v>3386</v>
      </c>
      <c r="R23" s="600">
        <f>R22*12</f>
        <v>360</v>
      </c>
      <c r="T23" s="600" t="s">
        <v>3386</v>
      </c>
      <c r="U23" s="600">
        <f>U22*12</f>
        <v>720</v>
      </c>
      <c r="W23" s="600" t="s">
        <v>3386</v>
      </c>
      <c r="X23" s="600">
        <f>X22*12</f>
        <v>360</v>
      </c>
    </row>
    <row r="24" spans="2:25">
      <c r="B24" s="600" t="s">
        <v>3402</v>
      </c>
      <c r="C24" s="608">
        <v>2</v>
      </c>
      <c r="E24" s="600" t="s">
        <v>3402</v>
      </c>
      <c r="F24" s="608">
        <v>1</v>
      </c>
      <c r="H24" s="600" t="s">
        <v>3402</v>
      </c>
      <c r="I24" s="608">
        <v>2</v>
      </c>
      <c r="K24" s="600" t="s">
        <v>3402</v>
      </c>
      <c r="L24" s="608">
        <v>2</v>
      </c>
      <c r="N24" s="600" t="s">
        <v>3402</v>
      </c>
      <c r="O24" s="608">
        <v>1</v>
      </c>
      <c r="Q24" s="600" t="s">
        <v>3402</v>
      </c>
      <c r="R24" s="608">
        <v>1</v>
      </c>
      <c r="T24" s="600" t="s">
        <v>3402</v>
      </c>
      <c r="U24" s="608">
        <v>1</v>
      </c>
      <c r="W24" s="600" t="s">
        <v>3402</v>
      </c>
      <c r="X24" s="608">
        <v>1</v>
      </c>
    </row>
    <row r="25" spans="2:25">
      <c r="B25" s="600" t="s">
        <v>3387</v>
      </c>
      <c r="C25" s="600">
        <f>ROUNDUP(LN(C23)/LN(1/C13)+C24,0)</f>
        <v>7</v>
      </c>
      <c r="E25" s="600" t="s">
        <v>3387</v>
      </c>
      <c r="F25" s="600">
        <f>ROUNDUP(LN(F23)/LN(1/F13)+F24,0)</f>
        <v>6</v>
      </c>
      <c r="H25" s="600" t="s">
        <v>3387</v>
      </c>
      <c r="I25" s="600">
        <f>ROUNDUP(LN(I23)/LN(1/I13)+I24,0)</f>
        <v>6</v>
      </c>
      <c r="K25" s="600" t="s">
        <v>3387</v>
      </c>
      <c r="L25" s="600">
        <f>ROUNDUP(LN(L23)/LN(1/L13)+L24,0)</f>
        <v>7</v>
      </c>
      <c r="N25" s="600" t="s">
        <v>3387</v>
      </c>
      <c r="O25" s="600">
        <f>ROUNDUP(LN(O23)/LN(1/O13)+O24,0)</f>
        <v>3</v>
      </c>
      <c r="Q25" s="600" t="s">
        <v>3387</v>
      </c>
      <c r="R25" s="600">
        <f>ROUNDUP(LN(R23)/LN(1/R13)+R24,0)</f>
        <v>3</v>
      </c>
      <c r="T25" s="600" t="s">
        <v>3387</v>
      </c>
      <c r="U25" s="600">
        <f>ROUNDUP(LN(U23)/LN(1/U13)+U24,0)</f>
        <v>4</v>
      </c>
      <c r="W25" s="600" t="s">
        <v>3387</v>
      </c>
      <c r="X25" s="600">
        <f>ROUNDUP(LN(X23)/LN(1/X13)+X24,0)</f>
        <v>5</v>
      </c>
      <c r="Y25" s="600" t="s">
        <v>3394</v>
      </c>
    </row>
    <row r="26" spans="2:25" ht="13.8" thickBot="1">
      <c r="B26" s="600" t="s">
        <v>3388</v>
      </c>
      <c r="C26" s="610">
        <f>$C$3</f>
        <v>0.2</v>
      </c>
      <c r="E26" s="600" t="s">
        <v>3388</v>
      </c>
      <c r="F26" s="610">
        <f>$C$3</f>
        <v>0.2</v>
      </c>
      <c r="H26" s="600" t="s">
        <v>3388</v>
      </c>
      <c r="I26" s="610">
        <f>$C$3</f>
        <v>0.2</v>
      </c>
      <c r="K26" s="600" t="s">
        <v>3388</v>
      </c>
      <c r="L26" s="610">
        <f>$C$3</f>
        <v>0.2</v>
      </c>
      <c r="N26" s="600" t="s">
        <v>3388</v>
      </c>
      <c r="O26" s="610">
        <f>$C$3</f>
        <v>0.2</v>
      </c>
      <c r="Q26" s="600" t="s">
        <v>3388</v>
      </c>
      <c r="R26" s="610">
        <f>$C$3</f>
        <v>0.2</v>
      </c>
      <c r="T26" s="600" t="s">
        <v>3388</v>
      </c>
      <c r="U26" s="610">
        <f>$C$3</f>
        <v>0.2</v>
      </c>
      <c r="W26" s="600" t="s">
        <v>3388</v>
      </c>
      <c r="X26" s="610">
        <f>$C$3</f>
        <v>0.2</v>
      </c>
    </row>
    <row r="27" spans="2:25" ht="13.8" thickBot="1">
      <c r="B27" s="615" t="s">
        <v>3389</v>
      </c>
      <c r="C27" s="616">
        <f>1-(1-C13^C25)^C23</f>
        <v>1.4663648540536367E-2</v>
      </c>
      <c r="E27" s="615" t="s">
        <v>3389</v>
      </c>
      <c r="F27" s="616">
        <f>1-(1-F13^F25)^F23</f>
        <v>4.5035846323246198E-2</v>
      </c>
      <c r="H27" s="615" t="s">
        <v>3389</v>
      </c>
      <c r="I27" s="616">
        <f>1-(1-I13^I25)^I23</f>
        <v>8.1677578252626892E-3</v>
      </c>
      <c r="K27" s="615" t="s">
        <v>3389</v>
      </c>
      <c r="L27" s="616">
        <f>1-(1-L13^L25)^L23</f>
        <v>2.1733671832260937E-2</v>
      </c>
      <c r="N27" s="615" t="s">
        <v>3389</v>
      </c>
      <c r="O27" s="616">
        <f>1-(1-O13^O25)^O23</f>
        <v>2.8758682653705625E-3</v>
      </c>
      <c r="Q27" s="615" t="s">
        <v>3389</v>
      </c>
      <c r="R27" s="616">
        <f>1-(1-R13^R25)^R23</f>
        <v>2.8758682653705625E-3</v>
      </c>
      <c r="T27" s="615" t="s">
        <v>3389</v>
      </c>
      <c r="U27" s="616">
        <f>1-(1-U13^U25)^U23</f>
        <v>1.0582646102934801E-2</v>
      </c>
      <c r="W27" s="615" t="s">
        <v>3389</v>
      </c>
      <c r="X27" s="616">
        <f>1-(1-X13^X25)^X23</f>
        <v>2.6968222495083682E-2</v>
      </c>
      <c r="Y27" s="600" t="s">
        <v>3404</v>
      </c>
    </row>
    <row r="28" spans="2:25">
      <c r="B28" s="611" t="s">
        <v>3390</v>
      </c>
      <c r="C28" s="612">
        <f>1-(1-C26)^(1/C25)</f>
        <v>3.1374914073002635E-2</v>
      </c>
      <c r="E28" s="611" t="s">
        <v>3390</v>
      </c>
      <c r="F28" s="612">
        <f>1-(1-F26)^(1/F25)</f>
        <v>3.6507516001003881E-2</v>
      </c>
      <c r="H28" s="611" t="s">
        <v>3390</v>
      </c>
      <c r="I28" s="612">
        <f>1-(1-I26)^(1/I25)</f>
        <v>3.6507516001003881E-2</v>
      </c>
      <c r="K28" s="611" t="s">
        <v>3390</v>
      </c>
      <c r="L28" s="612">
        <f>1-(1-L26)^(1/L25)</f>
        <v>3.1374914073002635E-2</v>
      </c>
      <c r="N28" s="611" t="s">
        <v>3390</v>
      </c>
      <c r="O28" s="612">
        <f>1-(1-O26)^(1/O25)</f>
        <v>7.1682233277444163E-2</v>
      </c>
      <c r="Q28" s="611" t="s">
        <v>3390</v>
      </c>
      <c r="R28" s="612">
        <f>1-(1-R26)^(1/R25)</f>
        <v>7.1682233277444163E-2</v>
      </c>
      <c r="T28" s="611" t="s">
        <v>3390</v>
      </c>
      <c r="U28" s="612">
        <f>1-(1-U26)^(1/U25)</f>
        <v>5.4258390996824168E-2</v>
      </c>
      <c r="W28" s="611" t="s">
        <v>3379</v>
      </c>
      <c r="X28" s="612">
        <f>1-(1-X26)^(1/X25)</f>
        <v>4.3647500209962997E-2</v>
      </c>
      <c r="Y28" s="600" t="s">
        <v>3397</v>
      </c>
    </row>
    <row r="29" spans="2:25" ht="13.8" thickBot="1">
      <c r="B29" s="613" t="s">
        <v>3380</v>
      </c>
      <c r="C29" s="614">
        <f>C28*C6</f>
        <v>131.77463910661106</v>
      </c>
      <c r="E29" s="613" t="s">
        <v>3380</v>
      </c>
      <c r="F29" s="614">
        <f>F28*F6</f>
        <v>153.3315672042163</v>
      </c>
      <c r="H29" s="613" t="s">
        <v>3380</v>
      </c>
      <c r="I29" s="614">
        <f>I28*I6</f>
        <v>153.3315672042163</v>
      </c>
      <c r="K29" s="613" t="s">
        <v>3380</v>
      </c>
      <c r="L29" s="614">
        <f>L28*L6</f>
        <v>131.77463910661106</v>
      </c>
      <c r="N29" s="613" t="s">
        <v>3380</v>
      </c>
      <c r="O29" s="614">
        <f>O28*O6</f>
        <v>301.0653797652655</v>
      </c>
      <c r="Q29" s="613" t="s">
        <v>3380</v>
      </c>
      <c r="R29" s="614">
        <f>R28*R6</f>
        <v>301.0653797652655</v>
      </c>
      <c r="T29" s="613" t="s">
        <v>3380</v>
      </c>
      <c r="U29" s="614">
        <f>U28*U6</f>
        <v>227.88524218666151</v>
      </c>
      <c r="W29" s="613" t="s">
        <v>3380</v>
      </c>
      <c r="X29" s="614">
        <f>X28*X6</f>
        <v>183.31950088184459</v>
      </c>
      <c r="Y29" s="600" t="s">
        <v>3398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3391</v>
      </c>
      <c r="C31" s="618">
        <f>C15*C25</f>
        <v>1.1019696969696966</v>
      </c>
      <c r="E31" s="617" t="s">
        <v>3391</v>
      </c>
      <c r="F31" s="618">
        <f>F15*F25</f>
        <v>8.7710843373493983</v>
      </c>
      <c r="H31" s="617" t="s">
        <v>3391</v>
      </c>
      <c r="I31" s="618">
        <f>I15*I25</f>
        <v>0.59347826086956468</v>
      </c>
      <c r="K31" s="617" t="s">
        <v>3391</v>
      </c>
      <c r="L31" s="618">
        <f>L15*L25</f>
        <v>3.499999999999996</v>
      </c>
      <c r="N31" s="617" t="s">
        <v>3391</v>
      </c>
      <c r="O31" s="618">
        <f>O15*O25</f>
        <v>2.1179999999999994</v>
      </c>
      <c r="Q31" s="617" t="s">
        <v>3391</v>
      </c>
      <c r="R31" s="618">
        <f>R15*R25</f>
        <v>1.8089999999999988</v>
      </c>
      <c r="T31" s="617" t="s">
        <v>3391</v>
      </c>
      <c r="U31" s="618">
        <f>U15*U25</f>
        <v>0.43836799999999876</v>
      </c>
      <c r="W31" s="617" t="s">
        <v>3391</v>
      </c>
      <c r="X31" s="618">
        <f>X15*X25</f>
        <v>0.31428571428571422</v>
      </c>
    </row>
    <row r="32" spans="2:25" ht="13.8" thickBot="1">
      <c r="B32" s="619" t="s">
        <v>3392</v>
      </c>
      <c r="C32" s="620">
        <f>C28*C25</f>
        <v>0.21962439851101845</v>
      </c>
      <c r="E32" s="619" t="s">
        <v>3392</v>
      </c>
      <c r="F32" s="620">
        <f>F28*F25</f>
        <v>0.21904509600602329</v>
      </c>
      <c r="H32" s="619" t="s">
        <v>3392</v>
      </c>
      <c r="I32" s="620">
        <f>I28*I25</f>
        <v>0.21904509600602329</v>
      </c>
      <c r="K32" s="619" t="s">
        <v>3392</v>
      </c>
      <c r="L32" s="620">
        <f>L28*L25</f>
        <v>0.21962439851101845</v>
      </c>
      <c r="N32" s="619" t="s">
        <v>3392</v>
      </c>
      <c r="O32" s="620">
        <f>O28*O25</f>
        <v>0.21504669983233249</v>
      </c>
      <c r="Q32" s="619" t="s">
        <v>3392</v>
      </c>
      <c r="R32" s="620">
        <f>R28*R25</f>
        <v>0.21504669983233249</v>
      </c>
      <c r="T32" s="619" t="s">
        <v>3392</v>
      </c>
      <c r="U32" s="620">
        <f>U28*U25</f>
        <v>0.21703356398729667</v>
      </c>
      <c r="W32" s="619" t="s">
        <v>3392</v>
      </c>
      <c r="X32" s="620">
        <f>X28*X25</f>
        <v>0.21823750104981499</v>
      </c>
    </row>
    <row r="33" spans="2:27" ht="13.8" thickBot="1"/>
    <row r="34" spans="2:27">
      <c r="B34" s="624" t="s">
        <v>3406</v>
      </c>
      <c r="C34" s="627">
        <v>120</v>
      </c>
      <c r="E34" s="624" t="s">
        <v>3406</v>
      </c>
      <c r="F34" s="627">
        <v>800</v>
      </c>
      <c r="H34" s="624" t="s">
        <v>3406</v>
      </c>
      <c r="I34" s="627">
        <v>100</v>
      </c>
      <c r="K34" s="624" t="s">
        <v>3406</v>
      </c>
      <c r="L34" s="627">
        <v>100</v>
      </c>
      <c r="N34" s="624" t="s">
        <v>3406</v>
      </c>
      <c r="O34" s="627">
        <v>400</v>
      </c>
      <c r="Q34" s="624" t="s">
        <v>3406</v>
      </c>
      <c r="R34" s="627">
        <v>400</v>
      </c>
      <c r="T34" s="624" t="s">
        <v>3406</v>
      </c>
      <c r="U34" s="627">
        <v>400</v>
      </c>
      <c r="W34" s="624" t="s">
        <v>3406</v>
      </c>
      <c r="X34" s="627">
        <v>100</v>
      </c>
    </row>
    <row r="35" spans="2:27" ht="13.8" thickBot="1">
      <c r="B35" s="625" t="s">
        <v>3407</v>
      </c>
      <c r="C35" s="626">
        <f>C34/$C$2</f>
        <v>2.8571428571428571E-2</v>
      </c>
      <c r="E35" s="625" t="s">
        <v>3407</v>
      </c>
      <c r="F35" s="626">
        <f>F34/$C$2</f>
        <v>0.19047619047619047</v>
      </c>
      <c r="H35" s="625" t="s">
        <v>3407</v>
      </c>
      <c r="I35" s="626">
        <f>I34/$C$2</f>
        <v>2.3809523809523808E-2</v>
      </c>
      <c r="K35" s="625" t="s">
        <v>3407</v>
      </c>
      <c r="L35" s="626">
        <f>L34/$C$2</f>
        <v>2.3809523809523808E-2</v>
      </c>
      <c r="N35" s="625" t="s">
        <v>3407</v>
      </c>
      <c r="O35" s="626">
        <f>O34/$C$2</f>
        <v>9.5238095238095233E-2</v>
      </c>
      <c r="Q35" s="625" t="s">
        <v>3407</v>
      </c>
      <c r="R35" s="626">
        <f>R34/$C$2</f>
        <v>9.5238095238095233E-2</v>
      </c>
      <c r="T35" s="625" t="s">
        <v>3407</v>
      </c>
      <c r="U35" s="626">
        <f>U34/$C$2</f>
        <v>9.5238095238095233E-2</v>
      </c>
      <c r="W35" s="625" t="s">
        <v>3407</v>
      </c>
      <c r="X35" s="626">
        <f>X34/$C$2</f>
        <v>2.3809523809523808E-2</v>
      </c>
    </row>
    <row r="36" spans="2:27" ht="13.8" thickBot="1"/>
    <row r="37" spans="2:27">
      <c r="B37" s="624" t="s">
        <v>3408</v>
      </c>
      <c r="C37" s="623">
        <v>20</v>
      </c>
      <c r="E37" s="624" t="s">
        <v>3408</v>
      </c>
      <c r="F37" s="623">
        <v>2</v>
      </c>
      <c r="H37" s="624" t="s">
        <v>3408</v>
      </c>
      <c r="I37" s="623">
        <v>2</v>
      </c>
      <c r="K37" s="624" t="s">
        <v>3408</v>
      </c>
      <c r="L37" s="623">
        <v>2</v>
      </c>
      <c r="N37" s="624" t="s">
        <v>3408</v>
      </c>
      <c r="O37" s="623">
        <v>0.5</v>
      </c>
      <c r="Q37" s="624" t="s">
        <v>3408</v>
      </c>
      <c r="R37" s="623">
        <v>0.5</v>
      </c>
      <c r="T37" s="624" t="s">
        <v>3408</v>
      </c>
      <c r="U37" s="623">
        <v>1</v>
      </c>
      <c r="W37" s="624" t="s">
        <v>3408</v>
      </c>
      <c r="X37" s="623">
        <v>1</v>
      </c>
    </row>
    <row r="38" spans="2:27" ht="13.8" thickBot="1">
      <c r="B38" s="625" t="s">
        <v>3409</v>
      </c>
      <c r="C38" s="628">
        <f>C37*C34</f>
        <v>2400</v>
      </c>
      <c r="E38" s="625" t="s">
        <v>3409</v>
      </c>
      <c r="F38" s="628">
        <f>F37*F34</f>
        <v>1600</v>
      </c>
      <c r="H38" s="625" t="s">
        <v>3409</v>
      </c>
      <c r="I38" s="628">
        <f>I37*I34</f>
        <v>200</v>
      </c>
      <c r="K38" s="625" t="s">
        <v>3409</v>
      </c>
      <c r="L38" s="628">
        <f>L37*L34</f>
        <v>200</v>
      </c>
      <c r="N38" s="625" t="s">
        <v>3409</v>
      </c>
      <c r="O38" s="628">
        <f>O37*O34</f>
        <v>200</v>
      </c>
      <c r="Q38" s="625" t="s">
        <v>3409</v>
      </c>
      <c r="R38" s="628">
        <f>R37*R34</f>
        <v>200</v>
      </c>
      <c r="T38" s="625" t="s">
        <v>3409</v>
      </c>
      <c r="U38" s="628">
        <f>U37*U34</f>
        <v>400</v>
      </c>
      <c r="W38" s="625" t="s">
        <v>3409</v>
      </c>
      <c r="X38" s="628">
        <f>X37*X34</f>
        <v>100</v>
      </c>
      <c r="Z38" s="603"/>
      <c r="AA38" s="629"/>
    </row>
    <row r="40" spans="2:27">
      <c r="B40" s="631" t="s">
        <v>3390</v>
      </c>
      <c r="C40" s="629">
        <f>C8/100</f>
        <v>1</v>
      </c>
      <c r="E40" s="631" t="s">
        <v>3390</v>
      </c>
      <c r="F40" s="629">
        <v>0.25</v>
      </c>
      <c r="H40" s="631" t="s">
        <v>3390</v>
      </c>
      <c r="I40" s="629">
        <f>I8/100</f>
        <v>1</v>
      </c>
      <c r="K40" s="631" t="s">
        <v>3390</v>
      </c>
      <c r="L40" s="629">
        <v>0.3</v>
      </c>
      <c r="N40" s="631" t="s">
        <v>3390</v>
      </c>
      <c r="O40" s="629">
        <v>1</v>
      </c>
      <c r="Q40" s="631" t="s">
        <v>3390</v>
      </c>
      <c r="R40" s="629">
        <v>1</v>
      </c>
      <c r="T40" s="631" t="s">
        <v>3390</v>
      </c>
      <c r="U40" s="629">
        <v>1</v>
      </c>
      <c r="W40" s="631" t="s">
        <v>3390</v>
      </c>
      <c r="X40" s="629">
        <v>1</v>
      </c>
    </row>
    <row r="41" spans="2:27">
      <c r="B41" s="631" t="s">
        <v>3387</v>
      </c>
      <c r="C41" s="600">
        <f>C25</f>
        <v>7</v>
      </c>
      <c r="E41" s="631" t="s">
        <v>3387</v>
      </c>
      <c r="F41" s="600">
        <f>F25</f>
        <v>6</v>
      </c>
      <c r="H41" s="631" t="s">
        <v>3387</v>
      </c>
      <c r="I41" s="600">
        <f>I25</f>
        <v>6</v>
      </c>
      <c r="K41" s="631" t="s">
        <v>3387</v>
      </c>
      <c r="L41" s="600">
        <f>L25</f>
        <v>7</v>
      </c>
      <c r="N41" s="631" t="s">
        <v>3387</v>
      </c>
      <c r="O41" s="600">
        <f>O25</f>
        <v>3</v>
      </c>
      <c r="Q41" s="631" t="s">
        <v>3387</v>
      </c>
      <c r="R41" s="600">
        <f>R25</f>
        <v>3</v>
      </c>
      <c r="T41" s="631" t="s">
        <v>3387</v>
      </c>
      <c r="U41" s="600">
        <f>U25</f>
        <v>4</v>
      </c>
      <c r="W41" s="631" t="s">
        <v>3387</v>
      </c>
      <c r="X41" s="600">
        <f>X25</f>
        <v>5</v>
      </c>
    </row>
    <row r="42" spans="2:27">
      <c r="B42" s="631" t="s">
        <v>3417</v>
      </c>
      <c r="C42" s="605">
        <f>$C$3</f>
        <v>0.2</v>
      </c>
      <c r="E42" s="631" t="s">
        <v>3417</v>
      </c>
      <c r="F42" s="605">
        <f>$C$3</f>
        <v>0.2</v>
      </c>
      <c r="H42" s="631" t="s">
        <v>3417</v>
      </c>
      <c r="I42" s="605">
        <f>$C$3</f>
        <v>0.2</v>
      </c>
      <c r="K42" s="631" t="s">
        <v>3417</v>
      </c>
      <c r="L42" s="605">
        <f>$C$3</f>
        <v>0.2</v>
      </c>
      <c r="N42" s="631" t="s">
        <v>3417</v>
      </c>
      <c r="O42" s="605">
        <f>$C$3</f>
        <v>0.2</v>
      </c>
      <c r="Q42" s="631" t="s">
        <v>3417</v>
      </c>
      <c r="R42" s="605">
        <f>$C$3</f>
        <v>0.2</v>
      </c>
      <c r="T42" s="631" t="s">
        <v>3417</v>
      </c>
      <c r="U42" s="605">
        <f>$C$3</f>
        <v>0.2</v>
      </c>
      <c r="W42" s="631" t="s">
        <v>3417</v>
      </c>
      <c r="X42" s="605">
        <f>$C$3</f>
        <v>0.2</v>
      </c>
    </row>
    <row r="43" spans="2:27">
      <c r="B43" s="631" t="s">
        <v>3418</v>
      </c>
      <c r="C43" s="632">
        <f>C42*$C$2</f>
        <v>840</v>
      </c>
      <c r="E43" s="631" t="s">
        <v>3418</v>
      </c>
      <c r="F43" s="632">
        <f>F42*$C$2</f>
        <v>840</v>
      </c>
      <c r="H43" s="631" t="s">
        <v>3418</v>
      </c>
      <c r="I43" s="632">
        <f>I42*$C$2</f>
        <v>840</v>
      </c>
      <c r="K43" s="631" t="s">
        <v>3418</v>
      </c>
      <c r="L43" s="632">
        <f>L42*$C$2</f>
        <v>840</v>
      </c>
      <c r="N43" s="631" t="s">
        <v>3418</v>
      </c>
      <c r="O43" s="632">
        <f>O42*$C$2</f>
        <v>840</v>
      </c>
      <c r="Q43" s="631" t="s">
        <v>3418</v>
      </c>
      <c r="R43" s="632">
        <f>R42*$C$2</f>
        <v>840</v>
      </c>
      <c r="T43" s="631" t="s">
        <v>3418</v>
      </c>
      <c r="U43" s="632">
        <f>U42*$C$2</f>
        <v>840</v>
      </c>
      <c r="W43" s="631" t="s">
        <v>3418</v>
      </c>
      <c r="X43" s="632">
        <f>X42*$C$2</f>
        <v>840</v>
      </c>
    </row>
    <row r="44" spans="2:27">
      <c r="B44" s="631" t="s">
        <v>3419</v>
      </c>
      <c r="C44" s="633">
        <f>C43/C41</f>
        <v>120</v>
      </c>
      <c r="E44" s="631" t="s">
        <v>3419</v>
      </c>
      <c r="F44" s="633">
        <f>F43/F41</f>
        <v>140</v>
      </c>
      <c r="H44" s="631" t="s">
        <v>3419</v>
      </c>
      <c r="I44" s="633">
        <f>I43/I41</f>
        <v>140</v>
      </c>
      <c r="K44" s="631" t="s">
        <v>3419</v>
      </c>
      <c r="L44" s="633">
        <f>L43/L41</f>
        <v>120</v>
      </c>
      <c r="N44" s="631" t="s">
        <v>3419</v>
      </c>
      <c r="O44" s="633">
        <f>O43/O41</f>
        <v>280</v>
      </c>
      <c r="Q44" s="631" t="s">
        <v>3419</v>
      </c>
      <c r="R44" s="633">
        <f>R43/R41</f>
        <v>280</v>
      </c>
      <c r="T44" s="631" t="s">
        <v>3419</v>
      </c>
      <c r="U44" s="633">
        <f>U43/U41</f>
        <v>210</v>
      </c>
      <c r="W44" s="631" t="s">
        <v>3419</v>
      </c>
      <c r="X44" s="633">
        <f>X43/X41</f>
        <v>168</v>
      </c>
    </row>
    <row r="45" spans="2:27">
      <c r="B45" s="631" t="s">
        <v>3420</v>
      </c>
      <c r="C45" s="603">
        <f>C44/C40</f>
        <v>120</v>
      </c>
      <c r="E45" s="631" t="s">
        <v>3420</v>
      </c>
      <c r="F45" s="603">
        <f>F44/F40</f>
        <v>560</v>
      </c>
      <c r="H45" s="631" t="s">
        <v>3420</v>
      </c>
      <c r="I45" s="603">
        <f>I44/I40</f>
        <v>140</v>
      </c>
      <c r="K45" s="631" t="s">
        <v>3420</v>
      </c>
      <c r="L45" s="603">
        <f>L44/L40</f>
        <v>400</v>
      </c>
      <c r="N45" s="631" t="s">
        <v>3420</v>
      </c>
      <c r="O45" s="603">
        <f>O44/O40</f>
        <v>280</v>
      </c>
      <c r="Q45" s="631" t="s">
        <v>3420</v>
      </c>
      <c r="R45" s="603">
        <f>R44/R40</f>
        <v>280</v>
      </c>
      <c r="T45" s="631" t="s">
        <v>3420</v>
      </c>
      <c r="U45" s="603">
        <f>U44/U40</f>
        <v>210</v>
      </c>
      <c r="W45" s="631" t="s">
        <v>3420</v>
      </c>
      <c r="X45" s="603">
        <f>X44/X40</f>
        <v>168</v>
      </c>
    </row>
    <row r="46" spans="2:27">
      <c r="B46" s="631" t="s">
        <v>3421</v>
      </c>
      <c r="C46" s="629">
        <f>C45/$C$2</f>
        <v>2.8571428571428571E-2</v>
      </c>
      <c r="E46" s="631" t="s">
        <v>3421</v>
      </c>
      <c r="F46" s="629">
        <f>F45/$C$2</f>
        <v>0.13333333333333333</v>
      </c>
      <c r="H46" s="631" t="s">
        <v>3421</v>
      </c>
      <c r="I46" s="629">
        <f>I45/$C$2</f>
        <v>3.3333333333333333E-2</v>
      </c>
      <c r="K46" s="631" t="s">
        <v>3421</v>
      </c>
      <c r="L46" s="629">
        <f>L45/$C$2</f>
        <v>9.5238095238095233E-2</v>
      </c>
      <c r="N46" s="631" t="s">
        <v>3421</v>
      </c>
      <c r="O46" s="629">
        <f>O45/$C$2</f>
        <v>6.6666666666666666E-2</v>
      </c>
      <c r="Q46" s="631" t="s">
        <v>3421</v>
      </c>
      <c r="R46" s="629">
        <f>R45/$C$2</f>
        <v>6.6666666666666666E-2</v>
      </c>
      <c r="T46" s="631" t="s">
        <v>3421</v>
      </c>
      <c r="U46" s="629">
        <f>U45/$C$2</f>
        <v>0.05</v>
      </c>
      <c r="W46" s="631" t="s">
        <v>3421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2800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2700</v>
      </c>
      <c r="D2" s="4" t="s">
        <v>2703</v>
      </c>
      <c r="E2" s="4" t="s">
        <v>2701</v>
      </c>
      <c r="F2" s="4" t="s">
        <v>2709</v>
      </c>
      <c r="G2" s="4" t="s">
        <v>2702</v>
      </c>
      <c r="H2" s="4" t="s">
        <v>2735</v>
      </c>
      <c r="I2" s="473" t="s">
        <v>2799</v>
      </c>
      <c r="O2" s="473" t="s">
        <v>2801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2715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2804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2669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2807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2667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2726</v>
      </c>
      <c r="L5" s="431">
        <v>3</v>
      </c>
      <c r="O5" s="480" t="s">
        <v>2808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2736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2727</v>
      </c>
      <c r="L6" s="451">
        <f>L4*L3</f>
        <v>81.313466911749856</v>
      </c>
      <c r="O6" s="480" t="s">
        <v>2809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2650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2728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2670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2729</v>
      </c>
      <c r="L8" s="451">
        <f>L7*30</f>
        <v>7318.212022057487</v>
      </c>
      <c r="O8" s="480" t="s">
        <v>2810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2714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2811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2659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2812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2732</v>
      </c>
      <c r="D13" s="23" t="s">
        <v>2641</v>
      </c>
      <c r="E13" s="23" t="s">
        <v>2644</v>
      </c>
      <c r="F13" s="23" t="s">
        <v>2664</v>
      </c>
      <c r="G13" s="23" t="s">
        <v>2642</v>
      </c>
      <c r="H13" s="23" t="s">
        <v>2643</v>
      </c>
      <c r="I13" s="23" t="s">
        <v>2661</v>
      </c>
      <c r="J13" s="23" t="s">
        <v>2704</v>
      </c>
      <c r="K13" s="23" t="s">
        <v>2706</v>
      </c>
      <c r="L13" s="23" t="s">
        <v>2645</v>
      </c>
      <c r="M13" s="23" t="s">
        <v>2646</v>
      </c>
      <c r="N13" s="23" t="s">
        <v>2668</v>
      </c>
      <c r="O13" s="23" t="s">
        <v>2705</v>
      </c>
      <c r="P13" s="23" t="s">
        <v>2707</v>
      </c>
      <c r="Q13" s="23" t="s">
        <v>1779</v>
      </c>
      <c r="R13" s="23" t="s">
        <v>2740</v>
      </c>
      <c r="S13" s="457" t="s">
        <v>2731</v>
      </c>
      <c r="T13" s="23" t="s">
        <v>2708</v>
      </c>
      <c r="U13" s="23" t="s">
        <v>1782</v>
      </c>
    </row>
    <row r="14" spans="2:21" ht="15" hidden="1" customHeight="1">
      <c r="B14" s="433">
        <v>46161</v>
      </c>
      <c r="C14" s="433"/>
      <c r="D14" s="432" t="s">
        <v>2657</v>
      </c>
      <c r="E14" s="432" t="s">
        <v>2658</v>
      </c>
      <c r="F14" s="432" t="s">
        <v>2666</v>
      </c>
      <c r="G14" s="432" t="s">
        <v>2659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2670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2660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2662</v>
      </c>
      <c r="E15" s="432" t="s">
        <v>2663</v>
      </c>
      <c r="F15" s="432" t="s">
        <v>2665</v>
      </c>
      <c r="G15" s="432" t="s">
        <v>2659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2676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2671</v>
      </c>
      <c r="E16" s="432" t="s">
        <v>2672</v>
      </c>
      <c r="F16" s="432" t="s">
        <v>2666</v>
      </c>
      <c r="G16" s="432" t="s">
        <v>2650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2659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2673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2655</v>
      </c>
      <c r="E17" s="432" t="s">
        <v>2656</v>
      </c>
      <c r="F17" s="432" t="s">
        <v>2666</v>
      </c>
      <c r="G17" s="432" t="s">
        <v>2650</v>
      </c>
      <c r="H17" s="434">
        <v>3.3</v>
      </c>
      <c r="I17" s="434">
        <v>142</v>
      </c>
      <c r="J17" s="448" t="s">
        <v>2725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2667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2654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2674</v>
      </c>
      <c r="E18" s="432" t="s">
        <v>2675</v>
      </c>
      <c r="F18" s="432" t="s">
        <v>2665</v>
      </c>
      <c r="G18" s="432" t="s">
        <v>2667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2648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1435</v>
      </c>
      <c r="E19" s="432" t="s">
        <v>2647</v>
      </c>
      <c r="F19" s="432" t="s">
        <v>2666</v>
      </c>
      <c r="G19" s="432" t="s">
        <v>2650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2667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2648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1435</v>
      </c>
      <c r="E20" s="432" t="s">
        <v>2647</v>
      </c>
      <c r="F20" s="432" t="s">
        <v>2665</v>
      </c>
      <c r="G20" s="432" t="s">
        <v>2670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2654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2716</v>
      </c>
      <c r="E21" s="445" t="s">
        <v>2717</v>
      </c>
      <c r="F21" s="432" t="s">
        <v>2666</v>
      </c>
      <c r="G21" s="445" t="s">
        <v>2715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2667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2660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2718</v>
      </c>
      <c r="E22" s="445" t="s">
        <v>2719</v>
      </c>
      <c r="F22" s="432" t="s">
        <v>2666</v>
      </c>
      <c r="G22" s="445" t="s">
        <v>2670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2715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2699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2720</v>
      </c>
      <c r="E23" s="445" t="s">
        <v>2698</v>
      </c>
      <c r="F23" s="432" t="s">
        <v>2666</v>
      </c>
      <c r="G23" s="445" t="s">
        <v>2659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2667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2673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2697</v>
      </c>
      <c r="E24" s="432" t="s">
        <v>2698</v>
      </c>
      <c r="F24" s="432" t="s">
        <v>2666</v>
      </c>
      <c r="G24" s="432" t="s">
        <v>2667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2659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2699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2711</v>
      </c>
      <c r="E25" s="445" t="s">
        <v>2712</v>
      </c>
      <c r="F25" s="445" t="s">
        <v>2665</v>
      </c>
      <c r="G25" s="445" t="s">
        <v>2667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2654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2721</v>
      </c>
      <c r="E26" s="445" t="s">
        <v>2722</v>
      </c>
      <c r="F26" s="432" t="s">
        <v>2666</v>
      </c>
      <c r="G26" s="445" t="s">
        <v>2659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2669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2699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2730</v>
      </c>
      <c r="E27" s="445" t="s">
        <v>2710</v>
      </c>
      <c r="F27" s="432" t="s">
        <v>2666</v>
      </c>
      <c r="G27" s="432" t="s">
        <v>2650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2659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2673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2730</v>
      </c>
      <c r="E28" s="453" t="s">
        <v>2710</v>
      </c>
      <c r="F28" s="432" t="s">
        <v>2666</v>
      </c>
      <c r="G28" s="453" t="s">
        <v>2659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2650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2660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2665</v>
      </c>
      <c r="G29" s="432" t="s">
        <v>2650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2713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2665</v>
      </c>
      <c r="G30" s="432" t="s">
        <v>2659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2713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2723</v>
      </c>
      <c r="E31" s="445" t="s">
        <v>2724</v>
      </c>
      <c r="F31" s="432" t="s">
        <v>2666</v>
      </c>
      <c r="G31" s="445" t="s">
        <v>2659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2670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2648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2789</v>
      </c>
      <c r="E32" s="453" t="s">
        <v>2790</v>
      </c>
      <c r="F32" s="432" t="s">
        <v>2666</v>
      </c>
      <c r="G32" s="453" t="s">
        <v>2667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2659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2660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2793</v>
      </c>
      <c r="E33" s="453" t="s">
        <v>2794</v>
      </c>
      <c r="F33" s="432" t="s">
        <v>2666</v>
      </c>
      <c r="G33" s="453" t="s">
        <v>2667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2659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2660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2737</v>
      </c>
      <c r="E34" s="461" t="s">
        <v>2738</v>
      </c>
      <c r="F34" s="432" t="s">
        <v>2666</v>
      </c>
      <c r="G34" s="461" t="s">
        <v>2736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2670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2739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2733</v>
      </c>
      <c r="E35" s="453" t="s">
        <v>2734</v>
      </c>
      <c r="F35" s="432" t="s">
        <v>2666</v>
      </c>
      <c r="G35" s="453" t="s">
        <v>2670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2659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2699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2795</v>
      </c>
      <c r="E36" s="453" t="s">
        <v>2796</v>
      </c>
      <c r="F36" s="432" t="s">
        <v>2666</v>
      </c>
      <c r="G36" s="453" t="s">
        <v>2667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2669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2660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2665</v>
      </c>
      <c r="G37" s="453" t="s">
        <v>2667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2713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2665</v>
      </c>
      <c r="G38" s="453" t="s">
        <v>2659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2713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2665</v>
      </c>
      <c r="G39" s="453" t="s">
        <v>2670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2713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2665</v>
      </c>
      <c r="G40" s="453" t="s">
        <v>2659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2713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2665</v>
      </c>
      <c r="G41" s="453" t="s">
        <v>2667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2713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2802</v>
      </c>
      <c r="E42" s="453" t="s">
        <v>2803</v>
      </c>
      <c r="F42" s="432" t="s">
        <v>2666</v>
      </c>
      <c r="G42" s="453" t="s">
        <v>2801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2800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1227</v>
      </c>
      <c r="E43" s="453" t="s">
        <v>2791</v>
      </c>
      <c r="F43" s="432" t="s">
        <v>2666</v>
      </c>
      <c r="G43" s="453" t="s">
        <v>2670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2667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2739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2665</v>
      </c>
      <c r="G44" s="453" t="s">
        <v>2659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2713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2665</v>
      </c>
      <c r="G45" s="453" t="s">
        <v>2667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2713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2665</v>
      </c>
      <c r="G46" s="453" t="s">
        <v>2670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2713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2665</v>
      </c>
      <c r="G47" s="432" t="s">
        <v>2650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2713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2665</v>
      </c>
      <c r="G48" s="453" t="s">
        <v>2800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2800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2203</v>
      </c>
      <c r="E49" s="453" t="s">
        <v>2788</v>
      </c>
      <c r="F49" s="432" t="s">
        <v>2666</v>
      </c>
      <c r="G49" s="453" t="s">
        <v>2659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2650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2648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2792</v>
      </c>
      <c r="E50" s="453" t="s">
        <v>1554</v>
      </c>
      <c r="F50" s="432" t="s">
        <v>2666</v>
      </c>
      <c r="G50" s="453" t="s">
        <v>2714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2667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2739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2652</v>
      </c>
      <c r="E51" s="432" t="s">
        <v>2653</v>
      </c>
      <c r="F51" s="432" t="s">
        <v>2666</v>
      </c>
      <c r="G51" s="432" t="s">
        <v>2650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2667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2648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2797</v>
      </c>
      <c r="E52" s="453" t="s">
        <v>2798</v>
      </c>
      <c r="F52" s="432" t="s">
        <v>2666</v>
      </c>
      <c r="G52" s="432" t="s">
        <v>2650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2670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2648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2649</v>
      </c>
      <c r="E53" s="432" t="s">
        <v>2651</v>
      </c>
      <c r="F53" s="432" t="s">
        <v>2666</v>
      </c>
      <c r="G53" s="432" t="s">
        <v>2650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2669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2648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1270</v>
      </c>
      <c r="E54" s="475" t="s">
        <v>2806</v>
      </c>
      <c r="F54" s="476" t="s">
        <v>2666</v>
      </c>
      <c r="G54" s="475" t="s">
        <v>2670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2667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2805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1220</v>
      </c>
      <c r="C23" s="265" t="s">
        <v>1286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1224</v>
      </c>
      <c r="C24" s="265" t="s">
        <v>1286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1270</v>
      </c>
      <c r="C26" s="265" t="s">
        <v>1289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1283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1266</v>
      </c>
      <c r="C28" s="265" t="s">
        <v>1289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1226</v>
      </c>
      <c r="C30" s="265" t="s">
        <v>1286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1301</v>
      </c>
      <c r="C32" s="265" t="s">
        <v>1282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1225</v>
      </c>
      <c r="C36" s="265" t="s">
        <v>1288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1283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1278</v>
      </c>
      <c r="C39" s="265" t="s">
        <v>1282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1246</v>
      </c>
      <c r="C40" s="265" t="s">
        <v>1280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1221</v>
      </c>
      <c r="C42" s="265" t="s">
        <v>1280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419" t="s">
        <v>266</v>
      </c>
      <c r="H19" s="1420" t="s">
        <v>265</v>
      </c>
      <c r="I19" s="1420" t="s">
        <v>284</v>
      </c>
      <c r="J19" s="1420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431" t="s">
        <v>268</v>
      </c>
      <c r="H20" s="1421">
        <v>-52.467278333620868</v>
      </c>
      <c r="I20" s="1429">
        <v>20</v>
      </c>
      <c r="J20" s="1429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431" t="s">
        <v>269</v>
      </c>
      <c r="H21" s="1421">
        <v>275.67452414820855</v>
      </c>
      <c r="I21" s="1429">
        <v>83</v>
      </c>
      <c r="J21" s="1429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419" t="s">
        <v>265</v>
      </c>
      <c r="O21" s="1419" t="s">
        <v>499</v>
      </c>
      <c r="P21" s="1420"/>
      <c r="Q21" s="1420"/>
      <c r="R21" s="1420"/>
      <c r="S21" s="1420"/>
      <c r="T21" s="1420"/>
      <c r="U21" s="1420"/>
      <c r="V21" s="1420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431" t="s">
        <v>270</v>
      </c>
      <c r="H22" s="1421">
        <v>-391.06425014057629</v>
      </c>
      <c r="I22" s="1429">
        <v>112</v>
      </c>
      <c r="J22" s="1429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419" t="s">
        <v>266</v>
      </c>
      <c r="O22" s="1432" t="s">
        <v>498</v>
      </c>
      <c r="P22" s="1432" t="s">
        <v>617</v>
      </c>
      <c r="Q22" s="1432" t="s">
        <v>500</v>
      </c>
      <c r="R22" s="1432" t="s">
        <v>501</v>
      </c>
      <c r="S22" s="1432" t="s">
        <v>502</v>
      </c>
      <c r="T22" s="1432" t="s">
        <v>503</v>
      </c>
      <c r="U22" s="1432" t="s">
        <v>451</v>
      </c>
      <c r="V22" s="1432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31" t="s">
        <v>271</v>
      </c>
      <c r="H23" s="1421">
        <v>51.842105263157933</v>
      </c>
      <c r="I23" s="1429">
        <v>37</v>
      </c>
      <c r="J23" s="1429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31" t="s">
        <v>268</v>
      </c>
      <c r="O23" s="1421"/>
      <c r="P23" s="1421">
        <v>-142.97237076648844</v>
      </c>
      <c r="Q23" s="1421">
        <v>43.435689616755795</v>
      </c>
      <c r="R23" s="1421">
        <v>45.2761485826002</v>
      </c>
      <c r="S23" s="1421">
        <v>-56.564310383244205</v>
      </c>
      <c r="T23" s="1421">
        <v>14.921875</v>
      </c>
      <c r="U23" s="1421">
        <v>43.435689616755795</v>
      </c>
      <c r="V23" s="1421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31" t="s">
        <v>272</v>
      </c>
      <c r="H24" s="1421">
        <v>50.261904761904809</v>
      </c>
      <c r="I24" s="1429">
        <v>64</v>
      </c>
      <c r="J24" s="1429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31" t="s">
        <v>269</v>
      </c>
      <c r="O24" s="1421">
        <v>-110.26575794996847</v>
      </c>
      <c r="P24" s="1421">
        <v>141.03511529169424</v>
      </c>
      <c r="Q24" s="1421">
        <v>68.432749406433629</v>
      </c>
      <c r="R24" s="1421">
        <v>-131.41680778522883</v>
      </c>
      <c r="S24" s="1421">
        <v>100.59743194611615</v>
      </c>
      <c r="T24" s="1421">
        <v>26.40824275692697</v>
      </c>
      <c r="U24" s="1421">
        <v>180.88355048223468</v>
      </c>
      <c r="V24" s="1421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31" t="s">
        <v>273</v>
      </c>
      <c r="H25" s="1421">
        <v>-340.99604743083029</v>
      </c>
      <c r="I25" s="1429">
        <v>62</v>
      </c>
      <c r="J25" s="1429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31" t="s">
        <v>270</v>
      </c>
      <c r="O25" s="1421">
        <v>-140.18740868698325</v>
      </c>
      <c r="P25" s="1421">
        <v>82.932214741205101</v>
      </c>
      <c r="Q25" s="1421">
        <v>151.0094950190668</v>
      </c>
      <c r="R25" s="1421">
        <v>62.907231653296606</v>
      </c>
      <c r="S25" s="1421">
        <v>12.50878231713455</v>
      </c>
      <c r="T25" s="1421">
        <v>-264.28714567480165</v>
      </c>
      <c r="U25" s="1421">
        <v>-295.94741950949413</v>
      </c>
      <c r="V25" s="1421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31" t="s">
        <v>274</v>
      </c>
      <c r="H26" s="1421">
        <v>97.279999999999987</v>
      </c>
      <c r="I26" s="1429">
        <v>54</v>
      </c>
      <c r="J26" s="1429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31" t="s">
        <v>271</v>
      </c>
      <c r="O26" s="1421">
        <v>31.274853801169591</v>
      </c>
      <c r="P26" s="1421">
        <v>-59.78947368421052</v>
      </c>
      <c r="Q26" s="1421">
        <v>93.266081871345037</v>
      </c>
      <c r="R26" s="1421">
        <v>62.549707602339183</v>
      </c>
      <c r="S26" s="1421">
        <v>31.274853801169591</v>
      </c>
      <c r="T26" s="1421">
        <v>-47.502923976608173</v>
      </c>
      <c r="U26" s="1421">
        <v>-59.230994152046776</v>
      </c>
      <c r="V26" s="1421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31" t="s">
        <v>275</v>
      </c>
      <c r="H27" s="1421">
        <v>-190.77065527065528</v>
      </c>
      <c r="I27" s="1429">
        <v>33</v>
      </c>
      <c r="J27" s="1429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31" t="s">
        <v>272</v>
      </c>
      <c r="O27" s="1421">
        <v>56.390476190476178</v>
      </c>
      <c r="P27" s="1421">
        <v>45.930952380952377</v>
      </c>
      <c r="Q27" s="1421">
        <v>12.326190476190467</v>
      </c>
      <c r="R27" s="1421">
        <v>-116.77857142857144</v>
      </c>
      <c r="S27" s="1421">
        <v>-135.42380952380952</v>
      </c>
      <c r="T27" s="1421">
        <v>103.68571428571427</v>
      </c>
      <c r="U27" s="1421">
        <v>84.13095238095238</v>
      </c>
      <c r="V27" s="1421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31" t="s">
        <v>276</v>
      </c>
      <c r="H28" s="1421">
        <v>-58.66256157635469</v>
      </c>
      <c r="I28" s="1429">
        <v>39</v>
      </c>
      <c r="J28" s="1429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31" t="s">
        <v>273</v>
      </c>
      <c r="O28" s="1421">
        <v>-40.359683794466413</v>
      </c>
      <c r="P28" s="1421">
        <v>-239.9822134387351</v>
      </c>
      <c r="Q28" s="1421">
        <v>-157.72332015810275</v>
      </c>
      <c r="R28" s="1421">
        <v>-23.373517786561266</v>
      </c>
      <c r="S28" s="1421">
        <v>76.249011857707501</v>
      </c>
      <c r="T28" s="1421">
        <v>76.249011857707501</v>
      </c>
      <c r="U28" s="1421">
        <v>-32.055335968379445</v>
      </c>
      <c r="V28" s="1421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431" t="s">
        <v>277</v>
      </c>
      <c r="H29" s="1421">
        <v>5.7688172043010475</v>
      </c>
      <c r="I29" s="1429">
        <v>18</v>
      </c>
      <c r="J29" s="1429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31" t="s">
        <v>274</v>
      </c>
      <c r="O29" s="1421">
        <v>38.518333333333331</v>
      </c>
      <c r="P29" s="1421">
        <v>100.91166666666666</v>
      </c>
      <c r="Q29" s="1421">
        <v>-21.371666666666655</v>
      </c>
      <c r="R29" s="1421">
        <v>-69.12166666666667</v>
      </c>
      <c r="S29" s="1421">
        <v>54.435000000000002</v>
      </c>
      <c r="T29" s="1421">
        <v>-45.24666666666667</v>
      </c>
      <c r="U29" s="1421">
        <v>39.155000000000001</v>
      </c>
      <c r="V29" s="1421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31" t="s">
        <v>278</v>
      </c>
      <c r="H30" s="1421">
        <v>-164.52746212121215</v>
      </c>
      <c r="I30" s="1429">
        <v>26</v>
      </c>
      <c r="J30" s="1429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31" t="s">
        <v>275</v>
      </c>
      <c r="O30" s="1421">
        <v>43.260683760683754</v>
      </c>
      <c r="P30" s="1421">
        <v>29.384615384615383</v>
      </c>
      <c r="Q30" s="1421">
        <v>-35.245014245014247</v>
      </c>
      <c r="R30" s="1421">
        <v>-192.92592592592592</v>
      </c>
      <c r="S30" s="1421">
        <v>28.840455840455839</v>
      </c>
      <c r="T30" s="1421">
        <v>-85.851851851851848</v>
      </c>
      <c r="U30" s="1421">
        <v>21.766381766381766</v>
      </c>
      <c r="V30" s="1421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31" t="s">
        <v>279</v>
      </c>
      <c r="H31" s="1421">
        <v>4.9697478991596569</v>
      </c>
      <c r="I31" s="1429">
        <v>20</v>
      </c>
      <c r="J31" s="1429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31" t="s">
        <v>276</v>
      </c>
      <c r="O31" s="1421">
        <v>33.166256157635466</v>
      </c>
      <c r="P31" s="1421">
        <v>-53.190886699507402</v>
      </c>
      <c r="Q31" s="1421">
        <v>46.809113300492605</v>
      </c>
      <c r="R31" s="1421">
        <v>60.687192118226591</v>
      </c>
      <c r="S31" s="1421">
        <v>13.407635467980295</v>
      </c>
      <c r="T31" s="1421">
        <v>-66.363300492610833</v>
      </c>
      <c r="U31" s="1421">
        <v>-93.178571428571431</v>
      </c>
      <c r="V31" s="1421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31" t="s">
        <v>280</v>
      </c>
      <c r="H32" s="1421">
        <v>57.500750750750754</v>
      </c>
      <c r="I32" s="1429">
        <v>11</v>
      </c>
      <c r="J32" s="1429">
        <v>11</v>
      </c>
      <c r="K32" s="75">
        <f t="shared" si="1"/>
        <v>1</v>
      </c>
      <c r="N32" s="1431" t="s">
        <v>277</v>
      </c>
      <c r="O32" s="1421">
        <v>18.483870967741932</v>
      </c>
      <c r="P32" s="1421"/>
      <c r="Q32" s="1421">
        <v>37.58387096774193</v>
      </c>
      <c r="R32" s="1421">
        <v>6.1612903225806441</v>
      </c>
      <c r="S32" s="1421">
        <v>12.322580645161288</v>
      </c>
      <c r="T32" s="1421">
        <v>-74.944086021505399</v>
      </c>
      <c r="U32" s="1421">
        <v>6.1612903225806441</v>
      </c>
      <c r="V32" s="1421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431" t="s">
        <v>281</v>
      </c>
      <c r="H33" s="1421">
        <v>-59.78947368421052</v>
      </c>
      <c r="I33" s="1429">
        <v>9</v>
      </c>
      <c r="J33" s="1429">
        <v>8</v>
      </c>
      <c r="K33" s="75">
        <f t="shared" si="1"/>
        <v>0.88888888888888884</v>
      </c>
      <c r="N33" s="1431" t="s">
        <v>278</v>
      </c>
      <c r="O33" s="1421">
        <v>35.269886363636367</v>
      </c>
      <c r="P33" s="1421">
        <v>-182.27462121212122</v>
      </c>
      <c r="Q33" s="1421">
        <v>11.575757575757574</v>
      </c>
      <c r="R33" s="1421">
        <v>-82.455492424242436</v>
      </c>
      <c r="S33" s="1421">
        <v>17.725378787878789</v>
      </c>
      <c r="T33" s="1421">
        <v>11.756628787878787</v>
      </c>
      <c r="U33" s="1421">
        <v>23.875</v>
      </c>
      <c r="V33" s="1421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31" t="s">
        <v>282</v>
      </c>
      <c r="H34" s="1421">
        <v>33.424999999999997</v>
      </c>
      <c r="I34" s="1429">
        <v>7</v>
      </c>
      <c r="J34" s="1429">
        <v>7</v>
      </c>
      <c r="K34" s="75">
        <f t="shared" si="1"/>
        <v>1</v>
      </c>
      <c r="N34" s="1431" t="s">
        <v>279</v>
      </c>
      <c r="O34" s="1421">
        <v>10.914285714285715</v>
      </c>
      <c r="P34" s="1421">
        <v>22.310084033613446</v>
      </c>
      <c r="Q34" s="1421">
        <v>21.989075630252103</v>
      </c>
      <c r="R34" s="1421">
        <v>11.074789915966388</v>
      </c>
      <c r="S34" s="1421">
        <v>16.692436974789917</v>
      </c>
      <c r="T34" s="1421">
        <v>5.4571428571428573</v>
      </c>
      <c r="U34" s="1421">
        <v>-83.468067226890753</v>
      </c>
      <c r="V34" s="1421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31" t="s">
        <v>283</v>
      </c>
      <c r="H35" s="1421">
        <v>72.348484848484873</v>
      </c>
      <c r="I35" s="1429">
        <v>16</v>
      </c>
      <c r="J35" s="1429">
        <v>16</v>
      </c>
      <c r="K35" s="75">
        <f t="shared" si="1"/>
        <v>1</v>
      </c>
      <c r="N35" s="1431" t="s">
        <v>280</v>
      </c>
      <c r="O35" s="1421">
        <v>5.1621621621621614</v>
      </c>
      <c r="P35" s="1421">
        <v>5.3055555555555554</v>
      </c>
      <c r="Q35" s="1421">
        <v>25.954204204204203</v>
      </c>
      <c r="R35" s="1421"/>
      <c r="S35" s="1421"/>
      <c r="T35" s="1421">
        <v>5.1621621621621614</v>
      </c>
      <c r="U35" s="1421">
        <v>15.916666666666666</v>
      </c>
      <c r="V35" s="1421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31" t="s">
        <v>286</v>
      </c>
      <c r="H36" s="1421">
        <v>41.275090045381155</v>
      </c>
      <c r="I36" s="1429">
        <v>41</v>
      </c>
      <c r="J36" s="1429">
        <v>40</v>
      </c>
      <c r="K36" s="75">
        <f t="shared" si="1"/>
        <v>0.97560975609756095</v>
      </c>
      <c r="N36" s="1431" t="s">
        <v>281</v>
      </c>
      <c r="O36" s="1421"/>
      <c r="P36" s="1421">
        <v>5.0263157894736841</v>
      </c>
      <c r="Q36" s="1421">
        <v>-100</v>
      </c>
      <c r="R36" s="1421">
        <v>5.0263157894736841</v>
      </c>
      <c r="S36" s="1421">
        <v>5.0263157894736841</v>
      </c>
      <c r="T36" s="1421">
        <v>10.052631578947368</v>
      </c>
      <c r="U36" s="1421">
        <v>15.078947368421051</v>
      </c>
      <c r="V36" s="1421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31" t="s">
        <v>267</v>
      </c>
      <c r="H37" s="1421">
        <v>-567.93130363611226</v>
      </c>
      <c r="I37" s="1429">
        <v>652</v>
      </c>
      <c r="J37" s="1429">
        <v>594</v>
      </c>
      <c r="K37" s="75"/>
      <c r="N37" s="1431" t="s">
        <v>282</v>
      </c>
      <c r="O37" s="1421">
        <v>4.7749999999999995</v>
      </c>
      <c r="P37" s="1421"/>
      <c r="Q37" s="1421">
        <v>9.5499999999999989</v>
      </c>
      <c r="R37" s="1421">
        <v>9.5499999999999989</v>
      </c>
      <c r="S37" s="1421"/>
      <c r="T37" s="1421">
        <v>4.7749999999999995</v>
      </c>
      <c r="U37" s="1421">
        <v>4.7749999999999995</v>
      </c>
      <c r="V37" s="1421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31" t="s">
        <v>283</v>
      </c>
      <c r="O38" s="1421"/>
      <c r="P38" s="1421">
        <v>13.436147186147185</v>
      </c>
      <c r="Q38" s="1421">
        <v>9.0952380952380949</v>
      </c>
      <c r="R38" s="1421">
        <v>8.8885281385281374</v>
      </c>
      <c r="S38" s="1421">
        <v>31.833333333333332</v>
      </c>
      <c r="T38" s="1421">
        <v>4.5476190476190474</v>
      </c>
      <c r="U38" s="1421">
        <v>4.5476190476190474</v>
      </c>
      <c r="V38" s="1421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31" t="s">
        <v>286</v>
      </c>
      <c r="O39" s="1421">
        <v>17.436706485024061</v>
      </c>
      <c r="P39" s="1421">
        <v>-66.928982867359451</v>
      </c>
      <c r="Q39" s="1421">
        <v>22.534490923730051</v>
      </c>
      <c r="R39" s="1421">
        <v>10.693106060606061</v>
      </c>
      <c r="S39" s="1421">
        <v>18.832085921325049</v>
      </c>
      <c r="T39" s="1421">
        <v>23.623081219595942</v>
      </c>
      <c r="U39" s="1421">
        <v>15.084602302459448</v>
      </c>
      <c r="V39" s="1421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31" t="s">
        <v>267</v>
      </c>
      <c r="O40" s="1421">
        <v>3.8396645047304396</v>
      </c>
      <c r="P40" s="1421">
        <v>-298.86588163849854</v>
      </c>
      <c r="Q40" s="1421">
        <v>239.22195601742462</v>
      </c>
      <c r="R40" s="1421">
        <v>-333.25767183357897</v>
      </c>
      <c r="S40" s="1421">
        <v>227.75718277547224</v>
      </c>
      <c r="T40" s="1421">
        <v>-297.55686513034971</v>
      </c>
      <c r="U40" s="1421">
        <v>-109.06968833131107</v>
      </c>
      <c r="V40" s="1421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82" t="s">
        <v>380</v>
      </c>
      <c r="F3" s="1483"/>
      <c r="G3" s="1483"/>
      <c r="H3" s="1484"/>
      <c r="I3" s="1482" t="s">
        <v>381</v>
      </c>
      <c r="J3" s="1483"/>
      <c r="K3" s="1483"/>
      <c r="L3" s="1484"/>
      <c r="M3" s="1482" t="s">
        <v>73</v>
      </c>
      <c r="N3" s="1483"/>
      <c r="O3" s="1483"/>
      <c r="P3" s="1484"/>
      <c r="Q3" s="1482" t="s">
        <v>179</v>
      </c>
      <c r="R3" s="1483"/>
      <c r="S3" s="1483"/>
      <c r="T3" s="1484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85" t="s">
        <v>626</v>
      </c>
      <c r="Y21" s="1486"/>
      <c r="Z21" s="1486"/>
      <c r="AA21" s="1486"/>
      <c r="AB21" s="1486"/>
      <c r="AC21" s="1487"/>
      <c r="AD21" s="1485" t="s">
        <v>627</v>
      </c>
      <c r="AE21" s="1486"/>
      <c r="AF21" s="1486"/>
      <c r="AG21" s="1487"/>
      <c r="AH21" s="1485" t="s">
        <v>628</v>
      </c>
      <c r="AI21" s="1488"/>
      <c r="AJ21" s="1488"/>
      <c r="AK21" s="1488"/>
      <c r="AL21" s="1488"/>
      <c r="AM21" s="1488"/>
      <c r="AN21" s="1489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1220</v>
      </c>
      <c r="C23" s="265" t="s">
        <v>1286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1224</v>
      </c>
      <c r="C24" s="265" t="s">
        <v>1286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1270</v>
      </c>
      <c r="C26" s="265" t="s">
        <v>1289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1283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1266</v>
      </c>
      <c r="C28" s="265" t="s">
        <v>1289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1226</v>
      </c>
      <c r="C30" s="265" t="s">
        <v>1286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1301</v>
      </c>
      <c r="C32" s="265" t="s">
        <v>1282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1225</v>
      </c>
      <c r="C36" s="265" t="s">
        <v>1288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1283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1278</v>
      </c>
      <c r="C39" s="265" t="s">
        <v>1282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1246</v>
      </c>
      <c r="C40" s="265" t="s">
        <v>1280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1221</v>
      </c>
      <c r="C42" s="265" t="s">
        <v>1280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F743BC9B-F626-443C-8944-CCA557256B30}">
  <ds:schemaRefs/>
</ds:datastoreItem>
</file>

<file path=customXml/itemProps3.xml><?xml version="1.0" encoding="utf-8"?>
<ds:datastoreItem xmlns:ds="http://schemas.openxmlformats.org/officeDocument/2006/customXml" ds:itemID="{3E2E56A8-1290-4D72-872F-7ED42363545B}">
  <ds:schemaRefs/>
</ds:datastoreItem>
</file>

<file path=customXml/itemProps4.xml><?xml version="1.0" encoding="utf-8"?>
<ds:datastoreItem xmlns:ds="http://schemas.openxmlformats.org/officeDocument/2006/customXml" ds:itemID="{3C2DB1DD-3D0B-439B-8CFE-28E9416D116E}">
  <ds:schemaRefs/>
</ds:datastoreItem>
</file>

<file path=customXml/itemProps5.xml><?xml version="1.0" encoding="utf-8"?>
<ds:datastoreItem xmlns:ds="http://schemas.openxmlformats.org/officeDocument/2006/customXml" ds:itemID="{1418D668-1050-4A24-AA46-1670C0328D19}">
  <ds:schemaRefs/>
</ds:datastoreItem>
</file>

<file path=customXml/itemProps6.xml><?xml version="1.0" encoding="utf-8"?>
<ds:datastoreItem xmlns:ds="http://schemas.openxmlformats.org/officeDocument/2006/customXml" ds:itemID="{F0FF6FAD-D028-4BB2-9872-29442C59B600}">
  <ds:schemaRefs/>
</ds:datastoreItem>
</file>

<file path=customXml/itemProps7.xml><?xml version="1.0" encoding="utf-8"?>
<ds:datastoreItem xmlns:ds="http://schemas.openxmlformats.org/officeDocument/2006/customXml" ds:itemID="{531B5D8A-9D0A-4E72-80E1-F14498B85837}">
  <ds:schemaRefs/>
</ds:datastoreItem>
</file>

<file path=customXml/itemProps8.xml><?xml version="1.0" encoding="utf-8"?>
<ds:datastoreItem xmlns:ds="http://schemas.openxmlformats.org/officeDocument/2006/customXml" ds:itemID="{A0934C01-3E48-41D6-9342-1AD591BDF257}">
  <ds:schemaRefs/>
</ds:datastoreItem>
</file>

<file path=customXml/itemProps9.xml><?xml version="1.0" encoding="utf-8"?>
<ds:datastoreItem xmlns:ds="http://schemas.openxmlformats.org/officeDocument/2006/customXml" ds:itemID="{5C390BFF-7F94-40C9-8244-56E47562B85E}">
  <ds:schemaRefs/>
</ds:datastoreItem>
</file>

<file path=customXml/itemProps10.xml><?xml version="1.0" encoding="utf-8"?>
<ds:datastoreItem xmlns:ds="http://schemas.openxmlformats.org/officeDocument/2006/customXml" ds:itemID="{5350A302-B8D9-4873-99B4-4DE3B5EAB877}">
  <ds:schemaRefs/>
</ds:datastoreItem>
</file>

<file path=customXml/itemProps11.xml><?xml version="1.0" encoding="utf-8"?>
<ds:datastoreItem xmlns:ds="http://schemas.openxmlformats.org/officeDocument/2006/customXml" ds:itemID="{D28EB955-CC23-4425-9787-EEC98CAF383E}">
  <ds:schemaRefs/>
</ds:datastoreItem>
</file>

<file path=customXml/itemProps12.xml><?xml version="1.0" encoding="utf-8"?>
<ds:datastoreItem xmlns:ds="http://schemas.openxmlformats.org/officeDocument/2006/customXml" ds:itemID="{FEF94E45-EB58-4B60-A8DA-12401E2B8391}">
  <ds:schemaRefs/>
</ds:datastoreItem>
</file>

<file path=customXml/itemProps13.xml><?xml version="1.0" encoding="utf-8"?>
<ds:datastoreItem xmlns:ds="http://schemas.openxmlformats.org/officeDocument/2006/customXml" ds:itemID="{C726001D-7FEF-4D60-904E-C515F2AE18B8}">
  <ds:schemaRefs/>
</ds:datastoreItem>
</file>

<file path=customXml/itemProps14.xml><?xml version="1.0" encoding="utf-8"?>
<ds:datastoreItem xmlns:ds="http://schemas.openxmlformats.org/officeDocument/2006/customXml" ds:itemID="{E0AD9576-36B5-4C38-BEA5-F64E16FBD31D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EB958FF7-32B5-452C-8F11-8544CBB63F8F}">
  <ds:schemaRefs/>
</ds:datastoreItem>
</file>

<file path=customXml/itemProps17.xml><?xml version="1.0" encoding="utf-8"?>
<ds:datastoreItem xmlns:ds="http://schemas.openxmlformats.org/officeDocument/2006/customXml" ds:itemID="{903EB21E-C250-4F6A-B91B-A1775839E030}">
  <ds:schemaRefs/>
</ds:datastoreItem>
</file>

<file path=customXml/itemProps18.xml><?xml version="1.0" encoding="utf-8"?>
<ds:datastoreItem xmlns:ds="http://schemas.openxmlformats.org/officeDocument/2006/customXml" ds:itemID="{1A9B4873-AFAD-44CE-B89A-8396ED0DDD47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2026-09-07T15:59:55Z</dcterms:modified>
</cp:coreProperties>
</file>